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athy\Downloads\"/>
    </mc:Choice>
  </mc:AlternateContent>
  <xr:revisionPtr revIDLastSave="0" documentId="8_{DF4DA55A-20F0-4229-BDDB-600AC4904EC5}" xr6:coauthVersionLast="47" xr6:coauthVersionMax="47" xr10:uidLastSave="{00000000-0000-0000-0000-000000000000}"/>
  <bookViews>
    <workbookView xWindow="19090" yWindow="-110" windowWidth="19420" windowHeight="11500" xr2:uid="{1BDB30A3-E8FC-48F5-8226-D6DA29DEBBF2}"/>
  </bookViews>
  <sheets>
    <sheet name="Budget" sheetId="1" r:id="rId1"/>
    <sheet name="FEFP" sheetId="6" state="hidden" r:id="rId2"/>
    <sheet name="Salaries" sheetId="5" state="hidden" r:id="rId3"/>
  </sheets>
  <externalReferences>
    <externalReference r:id="rId4"/>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Budget!$A:$E,Budget!$1:$1</definedName>
    <definedName name="QB_COLUMN_2921" localSheetId="0" hidden="1">Budget!$F$1</definedName>
    <definedName name="QB_COLUMN_29210" localSheetId="0" hidden="1">Budget!$O$1</definedName>
    <definedName name="QB_COLUMN_29211" localSheetId="0" hidden="1">Budget!$P$1</definedName>
    <definedName name="QB_COLUMN_29212" localSheetId="0" hidden="1">Budget!$Q$1</definedName>
    <definedName name="QB_COLUMN_2922" localSheetId="0" hidden="1">Budget!$G$1</definedName>
    <definedName name="QB_COLUMN_2923" localSheetId="0" hidden="1">Budget!$H$1</definedName>
    <definedName name="QB_COLUMN_2924" localSheetId="0" hidden="1">Budget!$I$1</definedName>
    <definedName name="QB_COLUMN_2925" localSheetId="0" hidden="1">Budget!$J$1</definedName>
    <definedName name="QB_COLUMN_2926" localSheetId="0" hidden="1">Budget!$K$1</definedName>
    <definedName name="QB_COLUMN_2927" localSheetId="0" hidden="1">Budget!$L$1</definedName>
    <definedName name="QB_COLUMN_2928" localSheetId="0" hidden="1">Budget!$M$1</definedName>
    <definedName name="QB_COLUMN_2929" localSheetId="0" hidden="1">Budget!$N$1</definedName>
    <definedName name="QB_COLUMN_2930" localSheetId="0" hidden="1">Budget!$R$1</definedName>
    <definedName name="QB_DATA_0" localSheetId="0" hidden="1">Budget!$4:$4,Budget!$5:$5,Budget!$6:$6,Budget!$7:$7,Budget!$8:$8,Budget!$9:$9,Budget!$10:$10,Budget!$11:$11,Budget!$12:$12,Budget!$13:$13,Budget!$14:$14,Budget!$15:$15,Budget!$17:$17,Budget!$19:$19,Budget!$21:$21,Budget!$24:$24</definedName>
    <definedName name="QB_DATA_1" localSheetId="0" hidden="1">Budget!$25:$25,Budget!$26:$26,Budget!$27:$27,Budget!$28:$28,Budget!$29:$29,Budget!$32:$32,Budget!$35:$35,Budget!$36:$36,Budget!$42:$42,Budget!$43:$43,Budget!$45:$45,Budget!$47:$47,Budget!$48:$48,Budget!$49:$49,Budget!$50:$50,Budget!$51:$51</definedName>
    <definedName name="QB_DATA_2" localSheetId="0" hidden="1">Budget!$52:$52,Budget!$54:$54,Budget!$56:$56,Budget!$59:$59,Budget!$60:$60,Budget!$61:$61,Budget!$62:$62,Budget!$64:$64,Budget!$66:$66,Budget!$69:$69,Budget!$70:$70,Budget!$72:$72,Budget!$76:$76,Budget!$79:$79,Budget!$83:$83,Budget!$86:$86</definedName>
    <definedName name="QB_DATA_3" localSheetId="0" hidden="1">Budget!$87:$87,Budget!$88:$88,Budget!#REF!,Budget!$89:$89,Budget!$90:$90,Budget!$91:$91,Budget!$92:$92,Budget!$93:$93,Budget!$95:$95,Budget!$96:$96,Budget!$97:$97,Budget!$98:$98,Budget!$99:$99,Budget!$101:$101,Budget!$102:$102,Budget!$105:$105</definedName>
    <definedName name="QB_DATA_4" localSheetId="0" hidden="1">Budget!$107:$107,Budget!$110:$110,Budget!$113:$113,Budget!$120:$120,Budget!$121:$121,Budget!$124:$124,Budget!$125:$125,Budget!$126:$126,Budget!$127:$127,Budget!$128:$128,Budget!$129:$129,Budget!$130:$130,Budget!$131:$131,Budget!$132:$132,Budget!$133:$133,Budget!$134:$134</definedName>
    <definedName name="QB_DATA_5" localSheetId="0" hidden="1">Budget!$135:$135,Budget!$136:$136,Budget!$139:$139,Budget!$140:$140,Budget!$143:$143,Budget!$146:$146,Budget!$147:$147,Budget!$148:$148,Budget!$149:$149,Budget!$152:$152,Budget!$153:$153,Budget!$156:$156,Budget!$159:$159,Budget!$160:$160,Budget!$161:$161,Budget!$162:$162</definedName>
    <definedName name="QB_DATA_6" localSheetId="0" hidden="1">Budget!$163:$163,Budget!$166:$166,Budget!$169:$169,Budget!$170:$170,Budget!$173:$173,Budget!$176:$176,Budget!$177:$177,Budget!$178:$178,Budget!$179:$179,Budget!$180:$180,Budget!$183:$183,Budget!$186:$186</definedName>
    <definedName name="QB_FORMULA_0" localSheetId="0" hidden="1">Budget!$R$4,Budget!$R$5,Budget!$R$6,Budget!$R$7,Budget!$R$8,Budget!$R$9,Budget!$R$10,Budget!$R$11,Budget!$R$12,Budget!$R$13,Budget!$R$14,Budget!$R$15,Budget!$R$17,Budget!$F$18,Budget!$G$18,Budget!$H$18</definedName>
    <definedName name="QB_FORMULA_1" localSheetId="0" hidden="1">Budget!$I$18,Budget!$J$18,Budget!$K$18,Budget!$L$18,Budget!$M$18,Budget!$N$18,Budget!$O$18,Budget!$P$18,Budget!$Q$18,Budget!$R$18,Budget!$R$19,Budget!$R$21,Budget!$F$22,Budget!$G$22,Budget!$H$22,Budget!$I$22</definedName>
    <definedName name="QB_FORMULA_10" localSheetId="0" hidden="1">Budget!$Q$77,Budget!$R$77,Budget!$R$79,Budget!$F$81,Budget!$G$81,Budget!$H$81,Budget!$I$81,Budget!$J$81,Budget!$K$81,Budget!$L$81,Budget!$M$81,Budget!$N$81,Budget!$O$81,Budget!$P$81,Budget!$Q$81,Budget!$R$81</definedName>
    <definedName name="QB_FORMULA_11" localSheetId="0" hidden="1">Budget!$R$83,Budget!$F$84,Budget!$G$84,Budget!$H$84,Budget!$I$84,Budget!$J$84,Budget!$K$84,Budget!$L$84,Budget!$M$84,Budget!$N$84,Budget!$O$84,Budget!$P$84,Budget!$Q$84,Budget!$R$84,Budget!$R$86,Budget!$R$87</definedName>
    <definedName name="QB_FORMULA_12" localSheetId="0" hidden="1">Budget!$R$88,Budget!#REF!,Budget!$R$89,Budget!$R$90,Budget!$R$91,Budget!$R$92,Budget!$R$93,Budget!$R$95,Budget!$R$96,Budget!$R$97,Budget!$R$98,Budget!$R$99,Budget!$R$101,Budget!$R$102,Budget!$F$103,Budget!$G$103</definedName>
    <definedName name="QB_FORMULA_13" localSheetId="0" hidden="1">Budget!$H$103,Budget!$I$103,Budget!$J$103,Budget!$K$103,Budget!$L$103,Budget!$M$103,Budget!$N$103,Budget!$O$103,Budget!$P$103,Budget!$Q$103,Budget!$R$103,Budget!$R$105,Budget!$R$107,Budget!$F$108,Budget!$G$108,Budget!$H$108</definedName>
    <definedName name="QB_FORMULA_14" localSheetId="0" hidden="1">Budget!$I$108,Budget!$J$108,Budget!$K$108,Budget!$L$108,Budget!$M$108,Budget!$N$108,Budget!$O$108,Budget!$P$108,Budget!$Q$108,Budget!$R$108,Budget!$R$110,Budget!$F$111,Budget!$G$111,Budget!$H$111,Budget!$I$111,Budget!$J$111</definedName>
    <definedName name="QB_FORMULA_15" localSheetId="0" hidden="1">Budget!$K$111,Budget!$L$111,Budget!$M$111,Budget!$N$111,Budget!$O$111,Budget!$P$111,Budget!$Q$111,Budget!$R$111,Budget!$R$113,Budget!$F$114,Budget!$G$114,Budget!$H$114,Budget!$I$114,Budget!$J$114,Budget!$K$114,Budget!$L$114</definedName>
    <definedName name="QB_FORMULA_16" localSheetId="0" hidden="1">Budget!$M$114,Budget!$N$114,Budget!$O$114,Budget!$P$114,Budget!$Q$114,Budget!$R$114,Budget!$R$120,Budget!$R$121,Budget!$F$122,Budget!$G$122,Budget!$H$122,Budget!$I$122,Budget!$J$122,Budget!$K$122,Budget!$L$122,Budget!$M$122</definedName>
    <definedName name="QB_FORMULA_17" localSheetId="0" hidden="1">Budget!$N$122,Budget!$O$122,Budget!$P$122,Budget!$Q$122,Budget!$R$122,Budget!$R$124,Budget!$R$125,Budget!$R$126,Budget!$R$127,Budget!$R$128,Budget!$R$129,Budget!$R$130,Budget!$R$131,Budget!$R$132,Budget!$R$133,Budget!$R$134</definedName>
    <definedName name="QB_FORMULA_18" localSheetId="0" hidden="1">Budget!$R$135,Budget!$R$136,Budget!$F$137,Budget!$G$137,Budget!$H$137,Budget!$I$137,Budget!$J$137,Budget!$K$137,Budget!$L$137,Budget!$M$137,Budget!$N$137,Budget!$O$137,Budget!$P$137,Budget!$Q$137,Budget!$R$137,Budget!$R$139</definedName>
    <definedName name="QB_FORMULA_19" localSheetId="0" hidden="1">Budget!$R$140,Budget!$F$141,Budget!$G$141,Budget!$H$141,Budget!$I$141,Budget!$J$141,Budget!$K$141,Budget!$L$141,Budget!$M$141,Budget!$N$141,Budget!$O$141,Budget!$P$141,Budget!$Q$141,Budget!$R$141,Budget!$R$143,Budget!$F$144</definedName>
    <definedName name="QB_FORMULA_2" localSheetId="0" hidden="1">Budget!$J$22,Budget!$K$22,Budget!$L$22,Budget!$M$22,Budget!$N$22,Budget!$O$22,Budget!$P$22,Budget!$Q$22,Budget!$R$22,Budget!$R$24,Budget!$R$25,Budget!$R$26,Budget!$R$27,Budget!$R$28,Budget!$R$29,Budget!$F$30</definedName>
    <definedName name="QB_FORMULA_20" localSheetId="0" hidden="1">Budget!$G$144,Budget!$H$144,Budget!$I$144,Budget!$J$144,Budget!$K$144,Budget!$L$144,Budget!$M$144,Budget!$N$144,Budget!$O$144,Budget!$P$144,Budget!$Q$144,Budget!$R$144,Budget!$R$146,Budget!$R$147,Budget!$R$148,Budget!$R$149</definedName>
    <definedName name="QB_FORMULA_21" localSheetId="0" hidden="1">Budget!$F$150,Budget!$G$150,Budget!$H$150,Budget!$I$150,Budget!$J$150,Budget!$K$150,Budget!$L$150,Budget!$M$150,Budget!$N$150,Budget!$O$150,Budget!$P$150,Budget!$Q$150,Budget!$R$150,Budget!$R$152,Budget!$R$153,Budget!$F$154</definedName>
    <definedName name="QB_FORMULA_22" localSheetId="0" hidden="1">Budget!$G$154,Budget!$H$154,Budget!$I$154,Budget!$J$154,Budget!$K$154,Budget!$L$154,Budget!$M$154,Budget!$N$154,Budget!$O$154,Budget!$P$154,Budget!$Q$154,Budget!$R$154,Budget!$F$155,Budget!$G$155,Budget!$H$155,Budget!$I$155</definedName>
    <definedName name="QB_FORMULA_23" localSheetId="0" hidden="1">Budget!$J$155,Budget!$K$155,Budget!$L$155,Budget!$M$155,Budget!$N$155,Budget!$O$155,Budget!$P$155,Budget!$Q$155,Budget!$R$155,Budget!$R$156,Budget!$R$159,Budget!$R$160,Budget!$R$161,Budget!$R$162,Budget!$R$163,Budget!$F$164</definedName>
    <definedName name="QB_FORMULA_24" localSheetId="0" hidden="1">Budget!$G$164,Budget!$H$164,Budget!$I$164,Budget!$J$164,Budget!$K$164,Budget!$L$164,Budget!$M$164,Budget!$N$164,Budget!$O$164,Budget!$P$164,Budget!$Q$164,Budget!$R$164,Budget!$R$166,Budget!$F$167,Budget!$G$167,Budget!$H$167</definedName>
    <definedName name="QB_FORMULA_25" localSheetId="0" hidden="1">Budget!$I$167,Budget!$J$167,Budget!$K$167,Budget!$L$167,Budget!$M$167,Budget!$N$167,Budget!$O$167,Budget!$P$167,Budget!$Q$167,Budget!$R$167,Budget!$R$169,Budget!$R$170,Budget!$F$171,Budget!$G$171,Budget!$H$171,Budget!$I$171</definedName>
    <definedName name="QB_FORMULA_26" localSheetId="0" hidden="1">Budget!$J$171,Budget!$K$171,Budget!$L$171,Budget!$M$171,Budget!$N$171,Budget!$O$171,Budget!$P$171,Budget!$Q$171,Budget!$R$171,Budget!$R$173,Budget!$F$174,Budget!$G$174,Budget!$H$174,Budget!$I$174,Budget!$J$174,Budget!$K$174</definedName>
    <definedName name="QB_FORMULA_27" localSheetId="0" hidden="1">Budget!$L$174,Budget!$M$174,Budget!$N$174,Budget!$O$174,Budget!$P$174,Budget!$Q$174,Budget!$R$174,Budget!$R$176,Budget!$R$177,Budget!$R$178,Budget!$R$179,Budget!$R$180,Budget!$F$181,Budget!$G$181,Budget!$H$181,Budget!$I$181</definedName>
    <definedName name="QB_FORMULA_28" localSheetId="0" hidden="1">Budget!$J$181,Budget!$K$181,Budget!$L$181,Budget!$M$181,Budget!$N$181,Budget!$O$181,Budget!$P$181,Budget!$Q$181,Budget!$R$181,Budget!$R$183,Budget!$F$184,Budget!$G$184,Budget!$H$184,Budget!$I$184,Budget!$J$184,Budget!$K$184</definedName>
    <definedName name="QB_FORMULA_29" localSheetId="0" hidden="1">Budget!$L$184,Budget!$M$184,Budget!$N$184,Budget!$O$184,Budget!$P$184,Budget!$Q$184,Budget!$R$184,Budget!$R$186,Budget!$F$187,Budget!$G$187,Budget!$H$187,Budget!$I$187,Budget!$J$187,Budget!$K$187,Budget!$L$187,Budget!$M$187</definedName>
    <definedName name="QB_FORMULA_3" localSheetId="0" hidden="1">Budget!$G$30,Budget!$H$30,Budget!$I$30,Budget!$J$30,Budget!$K$30,Budget!$L$30,Budget!$M$30,Budget!$N$30,Budget!$O$30,Budget!$P$30,Budget!$Q$30,Budget!$R$30,Budget!$R$32,Budget!$R$35,Budget!$R$36,Budget!$F$37</definedName>
    <definedName name="QB_FORMULA_30" localSheetId="0" hidden="1">Budget!$N$187,Budget!$O$187,Budget!$P$187,Budget!$Q$187,Budget!$R$187,Budget!$F$188,Budget!$G$188,Budget!$H$188,Budget!$I$188,Budget!$J$188,Budget!$K$188,Budget!$L$188,Budget!$M$188,Budget!$N$188,Budget!$O$188,Budget!$P$188</definedName>
    <definedName name="QB_FORMULA_31" localSheetId="0" hidden="1">Budget!$Q$188,Budget!$R$188,Budget!$F$189,Budget!$G$189,Budget!$H$189,Budget!$I$189,Budget!$J$189,Budget!$K$189,Budget!$L$189,Budget!$M$189,Budget!$N$189,Budget!$O$189,Budget!$P$189,Budget!$Q$189,Budget!$R$189,Budget!$F$190</definedName>
    <definedName name="QB_FORMULA_32" localSheetId="0" hidden="1">Budget!$G$190,Budget!$H$190,Budget!$I$190,Budget!$J$190,Budget!$K$190,Budget!$L$190,Budget!$M$190,Budget!$N$190,Budget!$O$190,Budget!$P$190,Budget!$Q$190,Budget!$R$190</definedName>
    <definedName name="QB_FORMULA_4" localSheetId="0" hidden="1">Budget!$G$37,Budget!$H$37,Budget!$I$37,Budget!$J$37,Budget!$K$37,Budget!$L$37,Budget!$M$37,Budget!$N$37,Budget!$O$37,Budget!$P$37,Budget!$Q$37,Budget!$R$37,Budget!$F$38,Budget!$G$38,Budget!$H$38,Budget!$I$38</definedName>
    <definedName name="QB_FORMULA_5" localSheetId="0" hidden="1">Budget!$J$38,Budget!$K$38,Budget!$L$38,Budget!$M$38,Budget!$N$38,Budget!$O$38,Budget!$P$38,Budget!$Q$38,Budget!$R$38,Budget!$R$42,Budget!$R$43,Budget!$R$45,Budget!$R$47,Budget!$R$48,Budget!$R$49,Budget!$R$50</definedName>
    <definedName name="QB_FORMULA_6" localSheetId="0" hidden="1">Budget!$R$51,Budget!$R$52,Budget!$R$54,Budget!$R$56,Budget!$F$57,Budget!$G$57,Budget!$H$57,Budget!$I$57,Budget!$J$57,Budget!$K$57,Budget!$L$57,Budget!$M$57,Budget!$N$57,Budget!$O$57,Budget!$P$57,Budget!$Q$57</definedName>
    <definedName name="QB_FORMULA_7" localSheetId="0" hidden="1">Budget!$R$57,Budget!$R$59,Budget!$R$60,Budget!$R$61,Budget!$R$62,Budget!$R$64,Budget!$R$66,Budget!$F$67,Budget!$G$67,Budget!$H$67,Budget!$I$67,Budget!$J$67,Budget!$K$67,Budget!$L$67,Budget!$M$67,Budget!$N$67</definedName>
    <definedName name="QB_FORMULA_8" localSheetId="0" hidden="1">Budget!$O$67,Budget!$P$67,Budget!$Q$67,Budget!$R$67,Budget!$R$69,Budget!$R$70,Budget!$R$72,Budget!$F$74,Budget!$G$74,Budget!$H$74,Budget!$I$74,Budget!$J$74,Budget!$K$74,Budget!$L$74,Budget!$M$74,Budget!$N$74</definedName>
    <definedName name="QB_FORMULA_9" localSheetId="0" hidden="1">Budget!$O$74,Budget!$P$74,Budget!$Q$74,Budget!$R$74,Budget!$R$76,Budget!$F$77,Budget!$G$77,Budget!$H$77,Budget!$I$77,Budget!$J$77,Budget!$K$77,Budget!$L$77,Budget!$M$77,Budget!$N$77,Budget!$O$77,Budget!$P$77</definedName>
    <definedName name="QB_ROW_102020" localSheetId="0" hidden="1">Budget!$C$3</definedName>
    <definedName name="QB_ROW_102320" localSheetId="0" hidden="1">Budget!$C$18</definedName>
    <definedName name="QB_ROW_103230" localSheetId="0" hidden="1">Budget!$D$4</definedName>
    <definedName name="QB_ROW_104230" localSheetId="0" hidden="1">Budget!$D$5</definedName>
    <definedName name="QB_ROW_105230" localSheetId="0" hidden="1">Budget!$D$6</definedName>
    <definedName name="QB_ROW_108230" localSheetId="0" hidden="1">Budget!$D$7</definedName>
    <definedName name="QB_ROW_109230" localSheetId="0" hidden="1">Budget!$D$8</definedName>
    <definedName name="QB_ROW_116230" localSheetId="0" hidden="1">Budget!$D$10</definedName>
    <definedName name="QB_ROW_118230" localSheetId="0" hidden="1">Budget!$D$11</definedName>
    <definedName name="QB_ROW_119230" localSheetId="0" hidden="1">Budget!$D$12</definedName>
    <definedName name="QB_ROW_122230" localSheetId="0" hidden="1">Budget!$D$13</definedName>
    <definedName name="QB_ROW_123230" localSheetId="0" hidden="1">Budget!$D$14</definedName>
    <definedName name="QB_ROW_125230" localSheetId="0" hidden="1">Budget!$D$15</definedName>
    <definedName name="QB_ROW_128230" localSheetId="0" hidden="1">Budget!$D$17</definedName>
    <definedName name="QB_ROW_130020" localSheetId="0" hidden="1">Budget!$C$20</definedName>
    <definedName name="QB_ROW_130320" localSheetId="0" hidden="1">Budget!$C$22</definedName>
    <definedName name="QB_ROW_138020" localSheetId="0" hidden="1">Budget!$C$23</definedName>
    <definedName name="QB_ROW_138230" localSheetId="0" hidden="1">Budget!$D$29</definedName>
    <definedName name="QB_ROW_138320" localSheetId="0" hidden="1">Budget!$C$30</definedName>
    <definedName name="QB_ROW_140230" localSheetId="0" hidden="1">Budget!$D$25</definedName>
    <definedName name="QB_ROW_147230" localSheetId="0" hidden="1">Budget!$D$26</definedName>
    <definedName name="QB_ROW_158230" localSheetId="0" hidden="1">Budget!$D$27</definedName>
    <definedName name="QB_ROW_159230" localSheetId="0" hidden="1">Budget!$D$28</definedName>
    <definedName name="QB_ROW_170020" localSheetId="0" hidden="1">Budget!$C$31</definedName>
    <definedName name="QB_ROW_170230" localSheetId="0" hidden="1">Budget!$D$36</definedName>
    <definedName name="QB_ROW_170320" localSheetId="0" hidden="1">Budget!$C$37</definedName>
    <definedName name="QB_ROW_178020" localSheetId="0" hidden="1">Budget!$C$40</definedName>
    <definedName name="QB_ROW_178320" localSheetId="0" hidden="1">Budget!$C$155</definedName>
    <definedName name="QB_ROW_179030" localSheetId="0" hidden="1">Budget!$D$41</definedName>
    <definedName name="QB_ROW_179330" localSheetId="0" hidden="1">Budget!$D$57</definedName>
    <definedName name="QB_ROW_180240" localSheetId="0" hidden="1">Budget!$E$42</definedName>
    <definedName name="QB_ROW_18301" localSheetId="0" hidden="1">Budget!$A$190</definedName>
    <definedName name="QB_ROW_183240" localSheetId="0" hidden="1">Budget!$E$43</definedName>
    <definedName name="QB_ROW_184240" localSheetId="0" hidden="1">Budget!$E$45</definedName>
    <definedName name="QB_ROW_186240" localSheetId="0" hidden="1">Budget!$E$47</definedName>
    <definedName name="QB_ROW_188240" localSheetId="0" hidden="1">Budget!$E$48</definedName>
    <definedName name="QB_ROW_190240" localSheetId="0" hidden="1">Budget!$E$49</definedName>
    <definedName name="QB_ROW_192240" localSheetId="0" hidden="1">Budget!$E$50</definedName>
    <definedName name="QB_ROW_197240" localSheetId="0" hidden="1">Budget!$E$51</definedName>
    <definedName name="QB_ROW_198240" localSheetId="0" hidden="1">Budget!$E$52</definedName>
    <definedName name="QB_ROW_20012" localSheetId="0" hidden="1">Budget!$B$2</definedName>
    <definedName name="QB_ROW_202240" localSheetId="0" hidden="1">Budget!$E$54</definedName>
    <definedName name="QB_ROW_20312" localSheetId="0" hidden="1">Budget!$B$38</definedName>
    <definedName name="QB_ROW_203240" localSheetId="0" hidden="1">Budget!$E$56</definedName>
    <definedName name="QB_ROW_205030" localSheetId="0" hidden="1">Budget!$D$58</definedName>
    <definedName name="QB_ROW_205330" localSheetId="0" hidden="1">Budget!$D$67</definedName>
    <definedName name="QB_ROW_206240" localSheetId="0" hidden="1">Budget!$E$59</definedName>
    <definedName name="QB_ROW_207240" localSheetId="0" hidden="1">Budget!$E$60</definedName>
    <definedName name="QB_ROW_208240" localSheetId="0" hidden="1">Budget!$E$61</definedName>
    <definedName name="QB_ROW_209240" localSheetId="0" hidden="1">Budget!$E$62</definedName>
    <definedName name="QB_ROW_21012" localSheetId="0" hidden="1">Budget!$B$39</definedName>
    <definedName name="QB_ROW_21312" localSheetId="0" hidden="1">Budget!$B$189</definedName>
    <definedName name="QB_ROW_213240" localSheetId="0" hidden="1">Budget!$E$64</definedName>
    <definedName name="QB_ROW_217240" localSheetId="0" hidden="1">Budget!$E$66</definedName>
    <definedName name="QB_ROW_220030" localSheetId="0" hidden="1">Budget!$D$75</definedName>
    <definedName name="QB_ROW_220330" localSheetId="0" hidden="1">Budget!$D$77</definedName>
    <definedName name="QB_ROW_222240" localSheetId="0" hidden="1">Budget!$E$76</definedName>
    <definedName name="QB_ROW_230030" localSheetId="0" hidden="1">Budget!$D$78</definedName>
    <definedName name="QB_ROW_230330" localSheetId="0" hidden="1">Budget!$D$81</definedName>
    <definedName name="QB_ROW_231240" localSheetId="0" hidden="1">Budget!$E$79</definedName>
    <definedName name="QB_ROW_233030" localSheetId="0" hidden="1">Budget!$D$85</definedName>
    <definedName name="QB_ROW_233330" localSheetId="0" hidden="1">Budget!$D$103</definedName>
    <definedName name="QB_ROW_234240" localSheetId="0" hidden="1">Budget!$E$86</definedName>
    <definedName name="QB_ROW_235240" localSheetId="0" hidden="1">Budget!$E$87</definedName>
    <definedName name="QB_ROW_237240" localSheetId="0" hidden="1">Budget!$E$88</definedName>
    <definedName name="QB_ROW_238240" localSheetId="0" hidden="1">Budget!#REF!</definedName>
    <definedName name="QB_ROW_239240" localSheetId="0" hidden="1">Budget!$E$89</definedName>
    <definedName name="QB_ROW_240240" localSheetId="0" hidden="1">Budget!$E$90</definedName>
    <definedName name="QB_ROW_241240" localSheetId="0" hidden="1">Budget!$E$91</definedName>
    <definedName name="QB_ROW_246240" localSheetId="0" hidden="1">Budget!$E$92</definedName>
    <definedName name="QB_ROW_247240" localSheetId="0" hidden="1">Budget!$E$93</definedName>
    <definedName name="QB_ROW_249240" localSheetId="0" hidden="1">Budget!$E$95</definedName>
    <definedName name="QB_ROW_250240" localSheetId="0" hidden="1">Budget!$E$96</definedName>
    <definedName name="QB_ROW_251240" localSheetId="0" hidden="1">Budget!$E$97</definedName>
    <definedName name="QB_ROW_253240" localSheetId="0" hidden="1">Budget!$E$98</definedName>
    <definedName name="QB_ROW_254240" localSheetId="0" hidden="1">Budget!$E$99</definedName>
    <definedName name="QB_ROW_255240" localSheetId="0" hidden="1">Budget!$E$101</definedName>
    <definedName name="QB_ROW_256240" localSheetId="0" hidden="1">Budget!$E$102</definedName>
    <definedName name="QB_ROW_260030" localSheetId="0" hidden="1">Budget!$D$104</definedName>
    <definedName name="QB_ROW_260330" localSheetId="0" hidden="1">Budget!$D$108</definedName>
    <definedName name="QB_ROW_261240" localSheetId="0" hidden="1">Budget!$E$105</definedName>
    <definedName name="QB_ROW_263030" localSheetId="0" hidden="1">Budget!$D$109</definedName>
    <definedName name="QB_ROW_263330" localSheetId="0" hidden="1">Budget!$D$111</definedName>
    <definedName name="QB_ROW_264240" localSheetId="0" hidden="1">Budget!$E$110</definedName>
    <definedName name="QB_ROW_265240" localSheetId="0" hidden="1">Budget!$E$83</definedName>
    <definedName name="QB_ROW_270030" localSheetId="0" hidden="1">Budget!$D$112</definedName>
    <definedName name="QB_ROW_270330" localSheetId="0" hidden="1">Budget!$D$114</definedName>
    <definedName name="QB_ROW_272240" localSheetId="0" hidden="1">Budget!$E$113</definedName>
    <definedName name="QB_ROW_275030" localSheetId="0" hidden="1">Budget!$D$115</definedName>
    <definedName name="QB_ROW_275330" localSheetId="0" hidden="1">Budget!$D$122</definedName>
    <definedName name="QB_ROW_276240" localSheetId="0" hidden="1">Budget!$E$120</definedName>
    <definedName name="QB_ROW_278030" localSheetId="0" hidden="1">Budget!$D$123</definedName>
    <definedName name="QB_ROW_278330" localSheetId="0" hidden="1">Budget!$D$137</definedName>
    <definedName name="QB_ROW_279240" localSheetId="0" hidden="1">Budget!$E$124</definedName>
    <definedName name="QB_ROW_281240" localSheetId="0" hidden="1">Budget!$E$125</definedName>
    <definedName name="QB_ROW_284240" localSheetId="0" hidden="1">Budget!$E$126</definedName>
    <definedName name="QB_ROW_285240" localSheetId="0" hidden="1">Budget!$E$127</definedName>
    <definedName name="QB_ROW_288240" localSheetId="0" hidden="1">Budget!$E$128</definedName>
    <definedName name="QB_ROW_289240" localSheetId="0" hidden="1">Budget!$E$129</definedName>
    <definedName name="QB_ROW_290240" localSheetId="0" hidden="1">Budget!$E$130</definedName>
    <definedName name="QB_ROW_291240" localSheetId="0" hidden="1">Budget!$E$131</definedName>
    <definedName name="QB_ROW_292240" localSheetId="0" hidden="1">Budget!$E$132</definedName>
    <definedName name="QB_ROW_293240" localSheetId="0" hidden="1">Budget!$E$133</definedName>
    <definedName name="QB_ROW_294240" localSheetId="0" hidden="1">Budget!$E$134</definedName>
    <definedName name="QB_ROW_295240" localSheetId="0" hidden="1">Budget!$E$135</definedName>
    <definedName name="QB_ROW_296240" localSheetId="0" hidden="1">Budget!$E$136</definedName>
    <definedName name="QB_ROW_297030" localSheetId="0" hidden="1">Budget!$D$138</definedName>
    <definedName name="QB_ROW_297330" localSheetId="0" hidden="1">Budget!$D$141</definedName>
    <definedName name="QB_ROW_298240" localSheetId="0" hidden="1">Budget!$E$139</definedName>
    <definedName name="QB_ROW_299240" localSheetId="0" hidden="1">Budget!$E$140</definedName>
    <definedName name="QB_ROW_300030" localSheetId="0" hidden="1">Budget!$D$142</definedName>
    <definedName name="QB_ROW_300330" localSheetId="0" hidden="1">Budget!$D$144</definedName>
    <definedName name="QB_ROW_301240" localSheetId="0" hidden="1">Budget!$E$143</definedName>
    <definedName name="QB_ROW_319220" localSheetId="0" hidden="1">Budget!$C$156</definedName>
    <definedName name="QB_ROW_360020" localSheetId="0" hidden="1">Budget!$C$157</definedName>
    <definedName name="QB_ROW_360320" localSheetId="0" hidden="1">Budget!$C$188</definedName>
    <definedName name="QB_ROW_361030" localSheetId="0" hidden="1">Budget!$D$158</definedName>
    <definedName name="QB_ROW_361330" localSheetId="0" hidden="1">Budget!$D$164</definedName>
    <definedName name="QB_ROW_363030" localSheetId="0" hidden="1">Budget!$D$165</definedName>
    <definedName name="QB_ROW_363330" localSheetId="0" hidden="1">Budget!$D$167</definedName>
    <definedName name="QB_ROW_365030" localSheetId="0" hidden="1">Budget!$D$145</definedName>
    <definedName name="QB_ROW_365330" localSheetId="0" hidden="1">Budget!$D$150</definedName>
    <definedName name="QB_ROW_366240" localSheetId="0" hidden="1">Budget!$E$149</definedName>
    <definedName name="QB_ROW_375230" localSheetId="0" hidden="1">Budget!$D$21</definedName>
    <definedName name="QB_ROW_376030" localSheetId="0" hidden="1">Budget!$D$82</definedName>
    <definedName name="QB_ROW_376330" localSheetId="0" hidden="1">Budget!$D$84</definedName>
    <definedName name="QB_ROW_379230" localSheetId="0" hidden="1">Budget!$D$35</definedName>
    <definedName name="QB_ROW_380240" localSheetId="0" hidden="1">Budget!$E$159</definedName>
    <definedName name="QB_ROW_381240" localSheetId="0" hidden="1">Budget!$E$160</definedName>
    <definedName name="QB_ROW_382240" localSheetId="0" hidden="1">Budget!$E$161</definedName>
    <definedName name="QB_ROW_383240" localSheetId="0" hidden="1">Budget!$E$162</definedName>
    <definedName name="QB_ROW_384240" localSheetId="0" hidden="1">Budget!$E$163</definedName>
    <definedName name="QB_ROW_385240" localSheetId="0" hidden="1">Budget!$E$166</definedName>
    <definedName name="QB_ROW_386240" localSheetId="0" hidden="1">Budget!$E$170</definedName>
    <definedName name="QB_ROW_387030" localSheetId="0" hidden="1">Budget!$D$168</definedName>
    <definedName name="QB_ROW_387330" localSheetId="0" hidden="1">Budget!$D$171</definedName>
    <definedName name="QB_ROW_388240" localSheetId="0" hidden="1">Budget!$E$169</definedName>
    <definedName name="QB_ROW_391030" localSheetId="0" hidden="1">Budget!$D$172</definedName>
    <definedName name="QB_ROW_391330" localSheetId="0" hidden="1">Budget!$D$174</definedName>
    <definedName name="QB_ROW_392240" localSheetId="0" hidden="1">Budget!$E$173</definedName>
    <definedName name="QB_ROW_393030" localSheetId="0" hidden="1">Budget!$D$175</definedName>
    <definedName name="QB_ROW_393330" localSheetId="0" hidden="1">Budget!$D$181</definedName>
    <definedName name="QB_ROW_398240" localSheetId="0" hidden="1">Budget!$E$176</definedName>
    <definedName name="QB_ROW_400240" localSheetId="0" hidden="1">Budget!$E$177</definedName>
    <definedName name="QB_ROW_401240" localSheetId="0" hidden="1">Budget!$E$178</definedName>
    <definedName name="QB_ROW_402240" localSheetId="0" hidden="1">Budget!$E$179</definedName>
    <definedName name="QB_ROW_403240" localSheetId="0" hidden="1">Budget!$E$180</definedName>
    <definedName name="QB_ROW_404030" localSheetId="0" hidden="1">Budget!$D$185</definedName>
    <definedName name="QB_ROW_404330" localSheetId="0" hidden="1">Budget!$D$187</definedName>
    <definedName name="QB_ROW_406240" localSheetId="0" hidden="1">Budget!$E$186</definedName>
    <definedName name="QB_ROW_409230" localSheetId="0" hidden="1">Budget!$D$9</definedName>
    <definedName name="QB_ROW_415230" localSheetId="0" hidden="1">Budget!$D$24</definedName>
    <definedName name="QB_ROW_416030" localSheetId="0" hidden="1">Budget!$D$68</definedName>
    <definedName name="QB_ROW_416330" localSheetId="0" hidden="1">Budget!$D$74</definedName>
    <definedName name="QB_ROW_417240" localSheetId="0" hidden="1">Budget!$E$69</definedName>
    <definedName name="QB_ROW_418240" localSheetId="0" hidden="1">Budget!$E$70</definedName>
    <definedName name="QB_ROW_419240" localSheetId="0" hidden="1">Budget!$E$72</definedName>
    <definedName name="QB_ROW_424030" localSheetId="0" hidden="1">Budget!$D$182</definedName>
    <definedName name="QB_ROW_424330" localSheetId="0" hidden="1">Budget!$D$184</definedName>
    <definedName name="QB_ROW_425240" localSheetId="0" hidden="1">Budget!$E$183</definedName>
    <definedName name="QB_ROW_426240" localSheetId="0" hidden="1">Budget!$E$146</definedName>
    <definedName name="QB_ROW_427240" localSheetId="0" hidden="1">Budget!$E$147</definedName>
    <definedName name="QB_ROW_428240" localSheetId="0" hidden="1">Budget!$E$148</definedName>
    <definedName name="QB_ROW_437220" localSheetId="0" hidden="1">Budget!$C$19</definedName>
    <definedName name="QB_ROW_440030" localSheetId="0" hidden="1">Budget!$D$151</definedName>
    <definedName name="QB_ROW_440330" localSheetId="0" hidden="1">Budget!$D$154</definedName>
    <definedName name="QB_ROW_441240" localSheetId="0" hidden="1">Budget!$E$152</definedName>
    <definedName name="QB_ROW_442240" localSheetId="0" hidden="1">Budget!$E$153</definedName>
    <definedName name="QB_ROW_444240" localSheetId="0" hidden="1">Budget!$E$107</definedName>
    <definedName name="QB_ROW_447230" localSheetId="0" hidden="1">Budget!$D$32</definedName>
    <definedName name="QB_ROW_448240" localSheetId="0" hidden="1">Budget!$E$121</definedName>
    <definedName name="QBCANSUPPORTUPDATE" localSheetId="0">TRUE</definedName>
    <definedName name="QBCOMPANYFILENAME" localSheetId="0">"Q:\Dreamers Academy (58-0120)\Dreamers Academy 58-0120.qbw"</definedName>
    <definedName name="QBENDDATE" localSheetId="0">20220630</definedName>
    <definedName name="QBHEADERSONSCREEN" localSheetId="0">FALSE</definedName>
    <definedName name="QBMETADATASIZE" localSheetId="0">5924</definedName>
    <definedName name="QBPRESERVECOLOR" localSheetId="0">TRUE</definedName>
    <definedName name="QBPRESERVEFONT" localSheetId="0">TRUE</definedName>
    <definedName name="QBPRESERVEROWHEIGHT" localSheetId="0">TRUE</definedName>
    <definedName name="QBPRESERVESPACE" localSheetId="0">FALSE</definedName>
    <definedName name="QBREPORTCOLAXIS" localSheetId="0">6</definedName>
    <definedName name="QBREPORTCOMPANYID" localSheetId="0">"9d69b0fd4892487c9e2da03596dde358"</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11</definedName>
    <definedName name="QBREPORTSUBCOLAXIS" localSheetId="0">0</definedName>
    <definedName name="QBREPORTTYPE" localSheetId="0">0</definedName>
    <definedName name="QBROWHEADERS" localSheetId="0">5</definedName>
    <definedName name="QBSTARTDATE" localSheetId="0">20210701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5" l="1"/>
  <c r="G133" i="1" l="1"/>
  <c r="F56" i="1"/>
  <c r="F34" i="1"/>
  <c r="F33" i="1"/>
  <c r="Q21" i="1"/>
  <c r="P21" i="1"/>
  <c r="O21" i="1"/>
  <c r="N21" i="1"/>
  <c r="M21" i="1"/>
  <c r="L21" i="1"/>
  <c r="K21" i="1"/>
  <c r="J21" i="1"/>
  <c r="I21" i="1"/>
  <c r="H21" i="1"/>
  <c r="G21" i="1"/>
  <c r="F21" i="1"/>
  <c r="Q143" i="1"/>
  <c r="P143" i="1"/>
  <c r="O143" i="1"/>
  <c r="N143" i="1"/>
  <c r="M143" i="1"/>
  <c r="L143" i="1"/>
  <c r="K143" i="1"/>
  <c r="J143" i="1"/>
  <c r="I143" i="1"/>
  <c r="H143" i="1"/>
  <c r="G143" i="1"/>
  <c r="F143" i="1"/>
  <c r="L152" i="1"/>
  <c r="G146" i="1"/>
  <c r="Q110" i="1"/>
  <c r="P110" i="1"/>
  <c r="O110" i="1"/>
  <c r="N110" i="1"/>
  <c r="M110" i="1"/>
  <c r="L110" i="1"/>
  <c r="K110" i="1"/>
  <c r="J110" i="1"/>
  <c r="I110" i="1"/>
  <c r="H110" i="1"/>
  <c r="G110" i="1"/>
  <c r="F110" i="1"/>
  <c r="F79" i="1"/>
  <c r="Q69" i="1"/>
  <c r="G69" i="1"/>
  <c r="F69" i="1"/>
  <c r="G56" i="1"/>
  <c r="H56" i="1" s="1"/>
  <c r="I56" i="1" s="1"/>
  <c r="J56" i="1" s="1"/>
  <c r="K56" i="1" s="1"/>
  <c r="L56" i="1" s="1"/>
  <c r="M56" i="1" s="1"/>
  <c r="N56" i="1" s="1"/>
  <c r="O56" i="1" s="1"/>
  <c r="P56" i="1" s="1"/>
  <c r="Q56" i="1" s="1"/>
  <c r="I100" i="5"/>
  <c r="I65" i="5"/>
  <c r="I64" i="5"/>
  <c r="I63" i="5"/>
  <c r="I84" i="5"/>
  <c r="I76" i="5"/>
  <c r="I90" i="5"/>
  <c r="I44" i="5"/>
  <c r="I43" i="5"/>
  <c r="I42" i="5"/>
  <c r="I41" i="5"/>
  <c r="I40" i="5"/>
  <c r="I39" i="5"/>
  <c r="I38" i="5"/>
  <c r="I55" i="5"/>
  <c r="G35" i="1"/>
  <c r="C6" i="6"/>
  <c r="H103" i="6"/>
  <c r="G95" i="6"/>
  <c r="G94" i="6"/>
  <c r="E94" i="6"/>
  <c r="E95" i="6" s="1"/>
  <c r="H91" i="6"/>
  <c r="G90" i="6"/>
  <c r="H90" i="6" s="1"/>
  <c r="E86" i="6"/>
  <c r="E85" i="6"/>
  <c r="E84" i="6"/>
  <c r="E81" i="6"/>
  <c r="E80" i="6"/>
  <c r="E76" i="6"/>
  <c r="G71" i="6"/>
  <c r="G68" i="6"/>
  <c r="G59" i="6"/>
  <c r="G55" i="6"/>
  <c r="H55" i="6" s="1"/>
  <c r="G54" i="6"/>
  <c r="H54" i="6" s="1"/>
  <c r="G53" i="6"/>
  <c r="H53" i="6" s="1"/>
  <c r="G52" i="6"/>
  <c r="H52" i="6" s="1"/>
  <c r="G51" i="6"/>
  <c r="H51" i="6" s="1"/>
  <c r="G50" i="6"/>
  <c r="H50" i="6" s="1"/>
  <c r="G49" i="6"/>
  <c r="H49" i="6" s="1"/>
  <c r="G48" i="6"/>
  <c r="H48" i="6" s="1"/>
  <c r="G47" i="6"/>
  <c r="C47" i="6"/>
  <c r="E38" i="6"/>
  <c r="C28" i="6"/>
  <c r="G27" i="6"/>
  <c r="G26" i="6"/>
  <c r="G25" i="6"/>
  <c r="G24" i="6"/>
  <c r="G23" i="6"/>
  <c r="G22" i="6"/>
  <c r="G21" i="6"/>
  <c r="G20" i="6"/>
  <c r="G19" i="6"/>
  <c r="G18" i="6"/>
  <c r="G17" i="6"/>
  <c r="G16" i="6"/>
  <c r="G15" i="6"/>
  <c r="G14" i="6"/>
  <c r="G13" i="6"/>
  <c r="G12" i="6"/>
  <c r="G7" i="6"/>
  <c r="G6" i="6"/>
  <c r="C4" i="6"/>
  <c r="G4" i="1"/>
  <c r="H4" i="1" s="1"/>
  <c r="I4" i="1" s="1"/>
  <c r="J4" i="1" s="1"/>
  <c r="K4" i="1" s="1"/>
  <c r="L4" i="1" s="1"/>
  <c r="M4" i="1" s="1"/>
  <c r="N4" i="1" s="1"/>
  <c r="O4" i="1" s="1"/>
  <c r="P4" i="1" s="1"/>
  <c r="Q4" i="1" s="1"/>
  <c r="F4" i="1"/>
  <c r="I103" i="5"/>
  <c r="I102" i="5"/>
  <c r="I101" i="5"/>
  <c r="I99" i="5"/>
  <c r="I98" i="5"/>
  <c r="I97" i="5"/>
  <c r="I96" i="5"/>
  <c r="I91" i="5"/>
  <c r="F59" i="1" s="1"/>
  <c r="I89" i="5"/>
  <c r="I83" i="5"/>
  <c r="I82" i="5"/>
  <c r="I81" i="5"/>
  <c r="I80" i="5"/>
  <c r="I79" i="5"/>
  <c r="I78" i="5"/>
  <c r="I77" i="5"/>
  <c r="I75" i="5"/>
  <c r="I74" i="5"/>
  <c r="I69" i="5"/>
  <c r="I68" i="5"/>
  <c r="I67" i="5"/>
  <c r="I66" i="5"/>
  <c r="I62" i="5"/>
  <c r="F87" i="1" s="1"/>
  <c r="I61" i="5"/>
  <c r="I57" i="5"/>
  <c r="I56" i="5"/>
  <c r="I54" i="5"/>
  <c r="I53" i="5"/>
  <c r="I52" i="5"/>
  <c r="I47"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H104" i="5"/>
  <c r="H85" i="5"/>
  <c r="H58" i="5"/>
  <c r="H48" i="5"/>
  <c r="C86" i="6" l="1"/>
  <c r="C85" i="6"/>
  <c r="C84" i="6"/>
  <c r="H37" i="6"/>
  <c r="H36" i="6"/>
  <c r="H35" i="6"/>
  <c r="H34" i="6"/>
  <c r="H33" i="6"/>
  <c r="H32" i="6"/>
  <c r="H31" i="6"/>
  <c r="H38" i="6" s="1"/>
  <c r="B84" i="6"/>
  <c r="G28" i="6"/>
  <c r="H12" i="6"/>
  <c r="H13" i="6"/>
  <c r="B85" i="6"/>
  <c r="G85" i="6" s="1"/>
  <c r="H14" i="6"/>
  <c r="H15" i="6"/>
  <c r="B86" i="6"/>
  <c r="G86" i="6" s="1"/>
  <c r="H16" i="6"/>
  <c r="H17" i="6"/>
  <c r="H18" i="6"/>
  <c r="H19" i="6"/>
  <c r="H20" i="6"/>
  <c r="H21" i="6"/>
  <c r="H22" i="6"/>
  <c r="H23" i="6"/>
  <c r="H24" i="6"/>
  <c r="H25" i="6"/>
  <c r="H26" i="6"/>
  <c r="H27" i="6"/>
  <c r="C71" i="6"/>
  <c r="G72" i="6" s="1"/>
  <c r="G77" i="6" s="1"/>
  <c r="H77" i="6" s="1"/>
  <c r="C68" i="6"/>
  <c r="G69" i="6" s="1"/>
  <c r="G74" i="6" s="1"/>
  <c r="H74" i="6" s="1"/>
  <c r="C65" i="6"/>
  <c r="G66" i="6" s="1"/>
  <c r="G78" i="6" s="1"/>
  <c r="H78" i="6" s="1"/>
  <c r="C59" i="6"/>
  <c r="G60" i="6" s="1"/>
  <c r="E39" i="6"/>
  <c r="C62" i="6" s="1"/>
  <c r="G63" i="6" s="1"/>
  <c r="C56" i="6"/>
  <c r="H47" i="6"/>
  <c r="H56" i="6" s="1"/>
  <c r="G96" i="6"/>
  <c r="H96" i="6" s="1"/>
  <c r="H94" i="6"/>
  <c r="H95" i="6"/>
  <c r="F37" i="1"/>
  <c r="G34" i="1"/>
  <c r="G33" i="1"/>
  <c r="R16" i="1"/>
  <c r="I104" i="5"/>
  <c r="I85" i="5"/>
  <c r="R53" i="1"/>
  <c r="F152" i="1"/>
  <c r="F129" i="1"/>
  <c r="H73" i="1"/>
  <c r="I73" i="1" s="1"/>
  <c r="J73" i="1" s="1"/>
  <c r="K73" i="1" s="1"/>
  <c r="L73" i="1" s="1"/>
  <c r="M73" i="1" s="1"/>
  <c r="N73" i="1" s="1"/>
  <c r="O73" i="1" s="1"/>
  <c r="P73" i="1" s="1"/>
  <c r="F153" i="1"/>
  <c r="G153" i="1" s="1"/>
  <c r="H153" i="1" s="1"/>
  <c r="I153" i="1" s="1"/>
  <c r="J153" i="1" s="1"/>
  <c r="K153" i="1" s="1"/>
  <c r="L153" i="1" s="1"/>
  <c r="M153" i="1" s="1"/>
  <c r="N153" i="1" s="1"/>
  <c r="O153" i="1" s="1"/>
  <c r="P153" i="1" s="1"/>
  <c r="Q153" i="1" s="1"/>
  <c r="H51" i="1"/>
  <c r="I51" i="1" s="1"/>
  <c r="J51" i="1" s="1"/>
  <c r="K51" i="1" s="1"/>
  <c r="L51" i="1" s="1"/>
  <c r="M51" i="1" s="1"/>
  <c r="N51" i="1" s="1"/>
  <c r="O51" i="1" s="1"/>
  <c r="P51" i="1" s="1"/>
  <c r="I48" i="5"/>
  <c r="H135" i="1"/>
  <c r="H133" i="1"/>
  <c r="I133" i="1" s="1"/>
  <c r="J133" i="1" s="1"/>
  <c r="K133" i="1" s="1"/>
  <c r="L133" i="1" s="1"/>
  <c r="M133" i="1" s="1"/>
  <c r="N133" i="1" s="1"/>
  <c r="O133" i="1" s="1"/>
  <c r="P133" i="1" s="1"/>
  <c r="H98" i="1"/>
  <c r="M94" i="1"/>
  <c r="N94" i="1" s="1"/>
  <c r="O94" i="1" s="1"/>
  <c r="I94" i="1"/>
  <c r="R94" i="1" s="1"/>
  <c r="R73" i="1"/>
  <c r="Q74" i="1"/>
  <c r="F74" i="1"/>
  <c r="F124" i="1"/>
  <c r="H186" i="1"/>
  <c r="J186" i="1"/>
  <c r="L186" i="1" s="1"/>
  <c r="N186" i="1" s="1"/>
  <c r="O159" i="1"/>
  <c r="P159" i="1" s="1"/>
  <c r="K159" i="1"/>
  <c r="L159" i="1" s="1"/>
  <c r="F32" i="1"/>
  <c r="I98" i="1"/>
  <c r="F86" i="1"/>
  <c r="Q154" i="1"/>
  <c r="P154" i="1"/>
  <c r="O154" i="1"/>
  <c r="N154" i="1"/>
  <c r="M154" i="1"/>
  <c r="L154" i="1"/>
  <c r="K154" i="1"/>
  <c r="J154" i="1"/>
  <c r="I154" i="1"/>
  <c r="H154" i="1"/>
  <c r="G154" i="1"/>
  <c r="F154" i="1"/>
  <c r="R154" i="1" s="1"/>
  <c r="R153" i="1"/>
  <c r="R152" i="1"/>
  <c r="S152" i="1" s="1"/>
  <c r="G131" i="1"/>
  <c r="H131" i="1" s="1"/>
  <c r="I131" i="1" s="1"/>
  <c r="J131" i="1" s="1"/>
  <c r="K131" i="1" s="1"/>
  <c r="L131" i="1" s="1"/>
  <c r="M131" i="1" s="1"/>
  <c r="N131" i="1" s="1"/>
  <c r="O131" i="1" s="1"/>
  <c r="P131" i="1" s="1"/>
  <c r="Q131" i="1" s="1"/>
  <c r="H97" i="6" l="1"/>
  <c r="G80" i="6"/>
  <c r="G79" i="6"/>
  <c r="H79" i="6" s="1"/>
  <c r="G81" i="6"/>
  <c r="G76" i="6"/>
  <c r="H76" i="6" s="1"/>
  <c r="H28" i="6"/>
  <c r="B87" i="6"/>
  <c r="G84" i="6"/>
  <c r="H87" i="6" s="1"/>
  <c r="H39" i="6"/>
  <c r="S153" i="1"/>
  <c r="S154" i="1" s="1"/>
  <c r="H33" i="1"/>
  <c r="H34" i="1"/>
  <c r="G44" i="1"/>
  <c r="R80" i="1"/>
  <c r="I117" i="5"/>
  <c r="I116" i="5"/>
  <c r="I115" i="5"/>
  <c r="I114" i="5"/>
  <c r="I113" i="5"/>
  <c r="I112" i="5"/>
  <c r="I111" i="5"/>
  <c r="I110" i="5"/>
  <c r="I118" i="5" s="1"/>
  <c r="F44" i="1"/>
  <c r="E43" i="6" l="1"/>
  <c r="H43" i="6" s="1"/>
  <c r="E42" i="6"/>
  <c r="H42" i="6" s="1"/>
  <c r="H44" i="6" s="1"/>
  <c r="H99" i="6"/>
  <c r="I34" i="1"/>
  <c r="J34" i="1" s="1"/>
  <c r="K34" i="1" s="1"/>
  <c r="L34" i="1" s="1"/>
  <c r="M34" i="1" s="1"/>
  <c r="N34" i="1" s="1"/>
  <c r="O34" i="1" s="1"/>
  <c r="P34" i="1" s="1"/>
  <c r="Q34" i="1" s="1"/>
  <c r="R34" i="1"/>
  <c r="I33" i="1"/>
  <c r="J33" i="1" s="1"/>
  <c r="K33" i="1" s="1"/>
  <c r="L33" i="1" s="1"/>
  <c r="M33" i="1" s="1"/>
  <c r="N33" i="1" s="1"/>
  <c r="O33" i="1" s="1"/>
  <c r="P33" i="1" s="1"/>
  <c r="Q33" i="1" s="1"/>
  <c r="R33" i="1"/>
  <c r="H44" i="1"/>
  <c r="I44" i="1" s="1"/>
  <c r="J44" i="1" s="1"/>
  <c r="K44" i="1" s="1"/>
  <c r="L44" i="1" s="1"/>
  <c r="M44" i="1" s="1"/>
  <c r="N44" i="1" s="1"/>
  <c r="O44" i="1" s="1"/>
  <c r="P44" i="1" s="1"/>
  <c r="H101" i="6" l="1"/>
  <c r="Q18" i="1"/>
  <c r="Q83" i="1" s="1"/>
  <c r="P18" i="1"/>
  <c r="P83" i="1" s="1"/>
  <c r="O18" i="1"/>
  <c r="O83" i="1" s="1"/>
  <c r="N18" i="1"/>
  <c r="N83" i="1" s="1"/>
  <c r="M18" i="1"/>
  <c r="M83" i="1" s="1"/>
  <c r="L18" i="1"/>
  <c r="L83" i="1" s="1"/>
  <c r="K18" i="1"/>
  <c r="K83" i="1" s="1"/>
  <c r="J18" i="1"/>
  <c r="J83" i="1" s="1"/>
  <c r="I18" i="1"/>
  <c r="I83" i="1" s="1"/>
  <c r="H18" i="1"/>
  <c r="H83" i="1" s="1"/>
  <c r="G18" i="1"/>
  <c r="G83" i="1" s="1"/>
  <c r="F18" i="1"/>
  <c r="F83" i="1" s="1"/>
  <c r="R44" i="1"/>
  <c r="G16" i="5"/>
  <c r="F16" i="5"/>
  <c r="G96" i="1"/>
  <c r="H96" i="1" s="1"/>
  <c r="I96" i="1" s="1"/>
  <c r="J96" i="1" s="1"/>
  <c r="K96" i="1" s="1"/>
  <c r="L96" i="1" s="1"/>
  <c r="M96" i="1" s="1"/>
  <c r="N96" i="1" s="1"/>
  <c r="O96" i="1" s="1"/>
  <c r="P96" i="1" s="1"/>
  <c r="Q96" i="1" s="1"/>
  <c r="F52" i="5"/>
  <c r="F56" i="5"/>
  <c r="F57" i="5"/>
  <c r="G52" i="5"/>
  <c r="F3" i="5"/>
  <c r="G56" i="5"/>
  <c r="G57" i="5"/>
  <c r="G8" i="5"/>
  <c r="G10" i="5"/>
  <c r="F4" i="5"/>
  <c r="F5" i="5"/>
  <c r="F6" i="5"/>
  <c r="F8" i="5"/>
  <c r="F9" i="5"/>
  <c r="F10" i="5"/>
  <c r="F11" i="5"/>
  <c r="F12" i="5"/>
  <c r="F13" i="5"/>
  <c r="F14" i="5"/>
  <c r="F15" i="5"/>
  <c r="F22" i="5"/>
  <c r="F47" i="5"/>
  <c r="R106" i="1" l="1"/>
  <c r="H146" i="1" l="1"/>
  <c r="G147" i="1"/>
  <c r="G148" i="1"/>
  <c r="H147" i="1"/>
  <c r="I146" i="1"/>
  <c r="H148" i="1"/>
  <c r="I148" i="1" l="1"/>
  <c r="I147" i="1"/>
  <c r="J146" i="1"/>
  <c r="F81" i="1"/>
  <c r="G129" i="1"/>
  <c r="H129" i="1" s="1"/>
  <c r="I129" i="1" s="1"/>
  <c r="J129" i="1" s="1"/>
  <c r="K129" i="1" s="1"/>
  <c r="L129" i="1" s="1"/>
  <c r="M129" i="1" s="1"/>
  <c r="N129" i="1" s="1"/>
  <c r="O129" i="1" s="1"/>
  <c r="P129" i="1" s="1"/>
  <c r="Q129" i="1" s="1"/>
  <c r="H65" i="1"/>
  <c r="I65" i="1" s="1"/>
  <c r="J65" i="1" s="1"/>
  <c r="K65" i="1" s="1"/>
  <c r="L65" i="1" s="1"/>
  <c r="M65" i="1" s="1"/>
  <c r="N65" i="1" s="1"/>
  <c r="O65" i="1" s="1"/>
  <c r="P65" i="1" s="1"/>
  <c r="G140" i="1"/>
  <c r="H140" i="1" s="1"/>
  <c r="I140" i="1" s="1"/>
  <c r="J140" i="1" s="1"/>
  <c r="K140" i="1" s="1"/>
  <c r="L140" i="1" s="1"/>
  <c r="M140" i="1" s="1"/>
  <c r="N140" i="1" s="1"/>
  <c r="O140" i="1" s="1"/>
  <c r="P140" i="1" s="1"/>
  <c r="Q140" i="1" s="1"/>
  <c r="G139" i="1"/>
  <c r="H139" i="1" s="1"/>
  <c r="I139" i="1" s="1"/>
  <c r="J139" i="1" s="1"/>
  <c r="K139" i="1" s="1"/>
  <c r="L139" i="1" s="1"/>
  <c r="M139" i="1" s="1"/>
  <c r="N139" i="1" s="1"/>
  <c r="O139" i="1" s="1"/>
  <c r="P139" i="1" s="1"/>
  <c r="Q139" i="1" s="1"/>
  <c r="Q126" i="1"/>
  <c r="P126" i="1"/>
  <c r="O126" i="1"/>
  <c r="N126" i="1"/>
  <c r="M126" i="1"/>
  <c r="L126" i="1"/>
  <c r="K126" i="1"/>
  <c r="J126" i="1"/>
  <c r="I126" i="1"/>
  <c r="H126" i="1"/>
  <c r="G126" i="1"/>
  <c r="F126" i="1"/>
  <c r="G130" i="1"/>
  <c r="H130" i="1" s="1"/>
  <c r="I130" i="1" s="1"/>
  <c r="J130" i="1" s="1"/>
  <c r="K130" i="1" s="1"/>
  <c r="L130" i="1" s="1"/>
  <c r="M130" i="1" s="1"/>
  <c r="N130" i="1" s="1"/>
  <c r="O130" i="1" s="1"/>
  <c r="P130" i="1" s="1"/>
  <c r="Q130" i="1" s="1"/>
  <c r="G132" i="1"/>
  <c r="H132" i="1" s="1"/>
  <c r="I132" i="1" s="1"/>
  <c r="J132" i="1" s="1"/>
  <c r="K132" i="1" s="1"/>
  <c r="L132" i="1" s="1"/>
  <c r="M132" i="1" s="1"/>
  <c r="N132" i="1" s="1"/>
  <c r="O132" i="1" s="1"/>
  <c r="P132" i="1" s="1"/>
  <c r="Q132" i="1" s="1"/>
  <c r="G136" i="1"/>
  <c r="H136" i="1" s="1"/>
  <c r="I136" i="1" s="1"/>
  <c r="J136" i="1" s="1"/>
  <c r="K136" i="1" s="1"/>
  <c r="L136" i="1" s="1"/>
  <c r="M136" i="1" s="1"/>
  <c r="N136" i="1" s="1"/>
  <c r="O136" i="1" s="1"/>
  <c r="P136" i="1" s="1"/>
  <c r="Q136" i="1" s="1"/>
  <c r="I135" i="1"/>
  <c r="J135" i="1" s="1"/>
  <c r="K135" i="1" s="1"/>
  <c r="L135" i="1" s="1"/>
  <c r="M135" i="1" s="1"/>
  <c r="N135" i="1" s="1"/>
  <c r="O135" i="1" s="1"/>
  <c r="P135" i="1" s="1"/>
  <c r="G134" i="1"/>
  <c r="H134" i="1" s="1"/>
  <c r="I134" i="1" s="1"/>
  <c r="J134" i="1" s="1"/>
  <c r="K134" i="1" s="1"/>
  <c r="L134" i="1" s="1"/>
  <c r="M134" i="1" s="1"/>
  <c r="N134" i="1" s="1"/>
  <c r="O134" i="1" s="1"/>
  <c r="P134" i="1" s="1"/>
  <c r="Q134" i="1" s="1"/>
  <c r="J98" i="1"/>
  <c r="K98" i="1" s="1"/>
  <c r="L98" i="1" s="1"/>
  <c r="M98" i="1" s="1"/>
  <c r="N98" i="1" s="1"/>
  <c r="O98" i="1" s="1"/>
  <c r="P98" i="1" s="1"/>
  <c r="M93" i="1"/>
  <c r="N93" i="1" s="1"/>
  <c r="O93" i="1" s="1"/>
  <c r="P93" i="1" s="1"/>
  <c r="I93" i="1"/>
  <c r="Q90" i="1"/>
  <c r="P90" i="1"/>
  <c r="O90" i="1"/>
  <c r="N90" i="1"/>
  <c r="M90" i="1"/>
  <c r="L90" i="1"/>
  <c r="K90" i="1"/>
  <c r="J90" i="1"/>
  <c r="I90" i="1"/>
  <c r="H90" i="1"/>
  <c r="G90" i="1"/>
  <c r="F90" i="1"/>
  <c r="G87" i="1"/>
  <c r="H87" i="1" s="1"/>
  <c r="I87" i="1" s="1"/>
  <c r="J87" i="1" s="1"/>
  <c r="K87" i="1" s="1"/>
  <c r="L87" i="1" s="1"/>
  <c r="M87" i="1" s="1"/>
  <c r="N87" i="1" s="1"/>
  <c r="O87" i="1" s="1"/>
  <c r="P87" i="1" s="1"/>
  <c r="Q87" i="1" s="1"/>
  <c r="Q119" i="1"/>
  <c r="F119" i="1"/>
  <c r="H118" i="1"/>
  <c r="Q117" i="1"/>
  <c r="F117" i="1"/>
  <c r="H120" i="1"/>
  <c r="I120" i="1" s="1"/>
  <c r="J120" i="1" s="1"/>
  <c r="K120" i="1" s="1"/>
  <c r="L120" i="1" s="1"/>
  <c r="M120" i="1" s="1"/>
  <c r="N120" i="1" s="1"/>
  <c r="O120" i="1" s="1"/>
  <c r="P120" i="1" s="1"/>
  <c r="G72" i="1"/>
  <c r="Q63" i="1"/>
  <c r="P63" i="1"/>
  <c r="O63" i="1"/>
  <c r="N63" i="1"/>
  <c r="M63" i="1"/>
  <c r="L63" i="1"/>
  <c r="K63" i="1"/>
  <c r="J63" i="1"/>
  <c r="I63" i="1"/>
  <c r="H63" i="1"/>
  <c r="G63" i="1"/>
  <c r="F63" i="1"/>
  <c r="G61" i="1"/>
  <c r="G19" i="1"/>
  <c r="H19" i="1" s="1"/>
  <c r="I19" i="1" s="1"/>
  <c r="J19" i="1" s="1"/>
  <c r="K19" i="1" s="1"/>
  <c r="L19" i="1" s="1"/>
  <c r="M19" i="1" s="1"/>
  <c r="N19" i="1" s="1"/>
  <c r="O19" i="1" s="1"/>
  <c r="P19" i="1" s="1"/>
  <c r="Q19" i="1" s="1"/>
  <c r="H54" i="1"/>
  <c r="I54" i="1" s="1"/>
  <c r="J54" i="1" s="1"/>
  <c r="K54" i="1" s="1"/>
  <c r="L54" i="1" s="1"/>
  <c r="M54" i="1" s="1"/>
  <c r="N54" i="1" s="1"/>
  <c r="O54" i="1" s="1"/>
  <c r="P54" i="1" s="1"/>
  <c r="Q49" i="1"/>
  <c r="P49" i="1"/>
  <c r="O49" i="1"/>
  <c r="N49" i="1"/>
  <c r="M49" i="1"/>
  <c r="L49" i="1"/>
  <c r="K49" i="1"/>
  <c r="J49" i="1"/>
  <c r="I49" i="1"/>
  <c r="H49" i="1"/>
  <c r="G49" i="1"/>
  <c r="F49" i="1"/>
  <c r="H100" i="1"/>
  <c r="I100" i="1" s="1"/>
  <c r="J100" i="1" s="1"/>
  <c r="K100" i="1" s="1"/>
  <c r="L100" i="1" s="1"/>
  <c r="F127" i="1"/>
  <c r="F45" i="1"/>
  <c r="G86" i="1"/>
  <c r="G105" i="1"/>
  <c r="H105" i="1" s="1"/>
  <c r="I105" i="1" s="1"/>
  <c r="J105" i="1" s="1"/>
  <c r="K105" i="1" s="1"/>
  <c r="L105" i="1" s="1"/>
  <c r="M105" i="1" s="1"/>
  <c r="N105" i="1" s="1"/>
  <c r="O105" i="1" s="1"/>
  <c r="P105" i="1" s="1"/>
  <c r="Q105" i="1" s="1"/>
  <c r="G59" i="1" l="1"/>
  <c r="G45" i="1"/>
  <c r="H45" i="1" s="1"/>
  <c r="I45" i="1" s="1"/>
  <c r="J45" i="1" s="1"/>
  <c r="K45" i="1" s="1"/>
  <c r="L45" i="1" s="1"/>
  <c r="M45" i="1" s="1"/>
  <c r="N45" i="1" s="1"/>
  <c r="O45" i="1" s="1"/>
  <c r="P45" i="1" s="1"/>
  <c r="Q45" i="1" s="1"/>
  <c r="J148" i="1"/>
  <c r="K146" i="1"/>
  <c r="J147" i="1"/>
  <c r="G117" i="1"/>
  <c r="G79" i="1"/>
  <c r="F125" i="1"/>
  <c r="F88" i="1"/>
  <c r="G88" i="1"/>
  <c r="R65" i="1"/>
  <c r="F91" i="1"/>
  <c r="H86" i="1"/>
  <c r="G91" i="1"/>
  <c r="G124" i="1"/>
  <c r="I118" i="1"/>
  <c r="J118" i="1" s="1"/>
  <c r="K118" i="1" s="1"/>
  <c r="L118" i="1" s="1"/>
  <c r="M118" i="1" s="1"/>
  <c r="N118" i="1" s="1"/>
  <c r="O118" i="1" s="1"/>
  <c r="P118" i="1" s="1"/>
  <c r="K55" i="1"/>
  <c r="L55" i="1" s="1"/>
  <c r="M55" i="1" s="1"/>
  <c r="N55" i="1" s="1"/>
  <c r="O55" i="1" s="1"/>
  <c r="P55" i="1" s="1"/>
  <c r="R71" i="1"/>
  <c r="R63" i="1"/>
  <c r="H69" i="1"/>
  <c r="F62" i="1"/>
  <c r="G70" i="1"/>
  <c r="G74" i="1" s="1"/>
  <c r="H59" i="1"/>
  <c r="G62" i="1"/>
  <c r="H61" i="1"/>
  <c r="G64" i="1"/>
  <c r="F64" i="1"/>
  <c r="M100" i="1"/>
  <c r="N100" i="1" s="1"/>
  <c r="O100" i="1" s="1"/>
  <c r="P100" i="1" s="1"/>
  <c r="R100" i="1"/>
  <c r="I58" i="5"/>
  <c r="F46" i="1" s="1"/>
  <c r="G46" i="1" l="1"/>
  <c r="H46" i="1" s="1"/>
  <c r="I46" i="1" s="1"/>
  <c r="J46" i="1" s="1"/>
  <c r="K46" i="1" s="1"/>
  <c r="L46" i="1" s="1"/>
  <c r="M46" i="1" s="1"/>
  <c r="N46" i="1" s="1"/>
  <c r="O46" i="1" s="1"/>
  <c r="P46" i="1" s="1"/>
  <c r="Q46" i="1" s="1"/>
  <c r="F42" i="1"/>
  <c r="F48" i="1" s="1"/>
  <c r="G42" i="1"/>
  <c r="F47" i="1"/>
  <c r="H116" i="1"/>
  <c r="I116" i="1" s="1"/>
  <c r="G119" i="1"/>
  <c r="K147" i="1"/>
  <c r="L146" i="1"/>
  <c r="K148" i="1"/>
  <c r="G81" i="1"/>
  <c r="H79" i="1"/>
  <c r="I79" i="1" s="1"/>
  <c r="I81" i="1" s="1"/>
  <c r="G125" i="1"/>
  <c r="G127" i="1"/>
  <c r="H124" i="1"/>
  <c r="H91" i="1"/>
  <c r="I86" i="1"/>
  <c r="H88" i="1"/>
  <c r="R118" i="1"/>
  <c r="R55" i="1"/>
  <c r="H72" i="1"/>
  <c r="H70" i="1"/>
  <c r="H74" i="1" s="1"/>
  <c r="I69" i="1"/>
  <c r="I61" i="1"/>
  <c r="H64" i="1"/>
  <c r="I59" i="1"/>
  <c r="H62" i="1"/>
  <c r="G43" i="1" l="1"/>
  <c r="H42" i="1"/>
  <c r="G47" i="1"/>
  <c r="I117" i="1"/>
  <c r="I119" i="1"/>
  <c r="J116" i="1"/>
  <c r="J119" i="1" s="1"/>
  <c r="H117" i="1"/>
  <c r="H119" i="1"/>
  <c r="L148" i="1"/>
  <c r="M146" i="1"/>
  <c r="L147" i="1"/>
  <c r="H81" i="1"/>
  <c r="J79" i="1"/>
  <c r="I91" i="1"/>
  <c r="J86" i="1"/>
  <c r="I88" i="1"/>
  <c r="H125" i="1"/>
  <c r="I124" i="1"/>
  <c r="H127" i="1"/>
  <c r="J69" i="1"/>
  <c r="I70" i="1"/>
  <c r="I72" i="1"/>
  <c r="J59" i="1"/>
  <c r="I62" i="1"/>
  <c r="J61" i="1"/>
  <c r="I64" i="1"/>
  <c r="I74" i="1" l="1"/>
  <c r="H43" i="1"/>
  <c r="I42" i="1"/>
  <c r="H47" i="1"/>
  <c r="J117" i="1"/>
  <c r="K116" i="1"/>
  <c r="L116" i="1" s="1"/>
  <c r="M147" i="1"/>
  <c r="M148" i="1"/>
  <c r="N146" i="1"/>
  <c r="K79" i="1"/>
  <c r="J81" i="1"/>
  <c r="I125" i="1"/>
  <c r="I127" i="1"/>
  <c r="J124" i="1"/>
  <c r="K86" i="1"/>
  <c r="J91" i="1"/>
  <c r="J88" i="1"/>
  <c r="K69" i="1"/>
  <c r="J70" i="1"/>
  <c r="J72" i="1"/>
  <c r="K61" i="1"/>
  <c r="J64" i="1"/>
  <c r="K59" i="1"/>
  <c r="J62" i="1"/>
  <c r="J74" i="1" l="1"/>
  <c r="I43" i="1"/>
  <c r="J42" i="1"/>
  <c r="I47" i="1"/>
  <c r="K119" i="1"/>
  <c r="K117" i="1"/>
  <c r="O146" i="1"/>
  <c r="N147" i="1"/>
  <c r="N148" i="1"/>
  <c r="K81" i="1"/>
  <c r="L79" i="1"/>
  <c r="L86" i="1"/>
  <c r="K88" i="1"/>
  <c r="K91" i="1"/>
  <c r="K124" i="1"/>
  <c r="J125" i="1"/>
  <c r="J127" i="1"/>
  <c r="M116" i="1"/>
  <c r="L117" i="1"/>
  <c r="L119" i="1"/>
  <c r="L69" i="1"/>
  <c r="K70" i="1"/>
  <c r="K72" i="1"/>
  <c r="L59" i="1"/>
  <c r="K62" i="1"/>
  <c r="L61" i="1"/>
  <c r="K64" i="1"/>
  <c r="K74" i="1" l="1"/>
  <c r="J43" i="1"/>
  <c r="K42" i="1"/>
  <c r="J47" i="1"/>
  <c r="P146" i="1"/>
  <c r="O147" i="1"/>
  <c r="O148" i="1"/>
  <c r="M79" i="1"/>
  <c r="L81" i="1"/>
  <c r="L124" i="1"/>
  <c r="K127" i="1"/>
  <c r="K125" i="1"/>
  <c r="L91" i="1"/>
  <c r="L88" i="1"/>
  <c r="M86" i="1"/>
  <c r="N116" i="1"/>
  <c r="M117" i="1"/>
  <c r="M119" i="1"/>
  <c r="M69" i="1"/>
  <c r="L70" i="1"/>
  <c r="L72" i="1"/>
  <c r="M61" i="1"/>
  <c r="L64" i="1"/>
  <c r="M59" i="1"/>
  <c r="L62" i="1"/>
  <c r="L74" i="1" l="1"/>
  <c r="K43" i="1"/>
  <c r="L42" i="1"/>
  <c r="K47" i="1"/>
  <c r="P148" i="1"/>
  <c r="P147" i="1"/>
  <c r="N79" i="1"/>
  <c r="M81" i="1"/>
  <c r="N86" i="1"/>
  <c r="M88" i="1"/>
  <c r="M91" i="1"/>
  <c r="M124" i="1"/>
  <c r="L127" i="1"/>
  <c r="L125" i="1"/>
  <c r="O116" i="1"/>
  <c r="N117" i="1"/>
  <c r="N119" i="1"/>
  <c r="N69" i="1"/>
  <c r="M72" i="1"/>
  <c r="M70" i="1"/>
  <c r="M74" i="1" s="1"/>
  <c r="N59" i="1"/>
  <c r="M62" i="1"/>
  <c r="N61" i="1"/>
  <c r="M64" i="1"/>
  <c r="L43" i="1" l="1"/>
  <c r="M42" i="1"/>
  <c r="L47" i="1"/>
  <c r="O79" i="1"/>
  <c r="N81" i="1"/>
  <c r="N124" i="1"/>
  <c r="M127" i="1"/>
  <c r="M125" i="1"/>
  <c r="O86" i="1"/>
  <c r="N88" i="1"/>
  <c r="N91" i="1"/>
  <c r="P116" i="1"/>
  <c r="R116" i="1" s="1"/>
  <c r="O117" i="1"/>
  <c r="O119" i="1"/>
  <c r="O69" i="1"/>
  <c r="N72" i="1"/>
  <c r="N70" i="1"/>
  <c r="N74" i="1" s="1"/>
  <c r="O61" i="1"/>
  <c r="N64" i="1"/>
  <c r="O59" i="1"/>
  <c r="N62" i="1"/>
  <c r="M43" i="1" l="1"/>
  <c r="N42" i="1"/>
  <c r="M47" i="1"/>
  <c r="P79" i="1"/>
  <c r="O81" i="1"/>
  <c r="P86" i="1"/>
  <c r="O91" i="1"/>
  <c r="O88" i="1"/>
  <c r="O124" i="1"/>
  <c r="N127" i="1"/>
  <c r="N125" i="1"/>
  <c r="P119" i="1"/>
  <c r="R119" i="1" s="1"/>
  <c r="P117" i="1"/>
  <c r="R117" i="1" s="1"/>
  <c r="P69" i="1"/>
  <c r="O72" i="1"/>
  <c r="O70" i="1"/>
  <c r="O74" i="1" s="1"/>
  <c r="P59" i="1"/>
  <c r="O62" i="1"/>
  <c r="P61" i="1"/>
  <c r="O64" i="1"/>
  <c r="N43" i="1" l="1"/>
  <c r="O42" i="1"/>
  <c r="N47" i="1"/>
  <c r="P81" i="1"/>
  <c r="Q79" i="1"/>
  <c r="Q81" i="1" s="1"/>
  <c r="P124" i="1"/>
  <c r="O125" i="1"/>
  <c r="O127" i="1"/>
  <c r="Q86" i="1"/>
  <c r="P91" i="1"/>
  <c r="P88" i="1"/>
  <c r="P72" i="1"/>
  <c r="P70" i="1"/>
  <c r="P74" i="1" s="1"/>
  <c r="Q61" i="1"/>
  <c r="P64" i="1"/>
  <c r="Q59" i="1"/>
  <c r="P62" i="1"/>
  <c r="O43" i="1" l="1"/>
  <c r="P42" i="1"/>
  <c r="O47" i="1"/>
  <c r="Q62" i="1"/>
  <c r="Q91" i="1"/>
  <c r="Q88" i="1"/>
  <c r="Q124" i="1"/>
  <c r="P127" i="1"/>
  <c r="P125" i="1"/>
  <c r="Q64" i="1"/>
  <c r="P43" i="1" l="1"/>
  <c r="Q42" i="1"/>
  <c r="P47" i="1"/>
  <c r="Q125" i="1"/>
  <c r="Q127" i="1"/>
  <c r="P50" i="1"/>
  <c r="O50" i="1"/>
  <c r="N50" i="1"/>
  <c r="M50" i="1"/>
  <c r="L50" i="1"/>
  <c r="K50" i="1"/>
  <c r="J50" i="1"/>
  <c r="I50" i="1"/>
  <c r="H50" i="1"/>
  <c r="G50" i="1"/>
  <c r="F50" i="1"/>
  <c r="G48" i="1"/>
  <c r="H48" i="1" s="1"/>
  <c r="I48" i="1" s="1"/>
  <c r="J48" i="1" s="1"/>
  <c r="K48" i="1" s="1"/>
  <c r="L48" i="1" s="1"/>
  <c r="M48" i="1" s="1"/>
  <c r="N48" i="1" s="1"/>
  <c r="O48" i="1" s="1"/>
  <c r="P48" i="1" s="1"/>
  <c r="Q48" i="1" s="1"/>
  <c r="G32" i="1"/>
  <c r="H32" i="1" s="1"/>
  <c r="I32" i="1" s="1"/>
  <c r="J32" i="1" s="1"/>
  <c r="K32" i="1" s="1"/>
  <c r="L32" i="1" s="1"/>
  <c r="M32" i="1" s="1"/>
  <c r="N32" i="1" s="1"/>
  <c r="O32" i="1" s="1"/>
  <c r="P32" i="1" s="1"/>
  <c r="Q32" i="1" s="1"/>
  <c r="H27" i="1"/>
  <c r="I27" i="1" s="1"/>
  <c r="J27" i="1" s="1"/>
  <c r="K27" i="1" s="1"/>
  <c r="L27" i="1" s="1"/>
  <c r="M27" i="1" s="1"/>
  <c r="N27" i="1" s="1"/>
  <c r="O27" i="1" s="1"/>
  <c r="P27" i="1" s="1"/>
  <c r="H24" i="1"/>
  <c r="I24" i="1" s="1"/>
  <c r="J24" i="1" s="1"/>
  <c r="K24" i="1" s="1"/>
  <c r="L24" i="1" s="1"/>
  <c r="M24" i="1" s="1"/>
  <c r="N24" i="1" s="1"/>
  <c r="O24" i="1" s="1"/>
  <c r="P24" i="1" s="1"/>
  <c r="Q43" i="1" l="1"/>
  <c r="R46" i="1" s="1"/>
  <c r="H35" i="1"/>
  <c r="I35" i="1" s="1"/>
  <c r="J35" i="1" s="1"/>
  <c r="K35" i="1" s="1"/>
  <c r="L35" i="1" s="1"/>
  <c r="M35" i="1" s="1"/>
  <c r="N35" i="1" s="1"/>
  <c r="O35" i="1" s="1"/>
  <c r="P35" i="1" s="1"/>
  <c r="R35" i="1"/>
  <c r="Q111" i="1"/>
  <c r="I111" i="1"/>
  <c r="P111" i="1"/>
  <c r="G111" i="1"/>
  <c r="N111" i="1"/>
  <c r="L111" i="1"/>
  <c r="K111" i="1"/>
  <c r="O111" i="1"/>
  <c r="F111" i="1"/>
  <c r="M111" i="1"/>
  <c r="Q22" i="1"/>
  <c r="Q187" i="1"/>
  <c r="P187" i="1"/>
  <c r="O187" i="1"/>
  <c r="N187" i="1"/>
  <c r="M187" i="1"/>
  <c r="L187" i="1"/>
  <c r="K187" i="1"/>
  <c r="J187" i="1"/>
  <c r="I187" i="1"/>
  <c r="H187" i="1"/>
  <c r="G187" i="1"/>
  <c r="F187" i="1"/>
  <c r="R186" i="1"/>
  <c r="Q184" i="1"/>
  <c r="P184" i="1"/>
  <c r="O184" i="1"/>
  <c r="N184" i="1"/>
  <c r="M184" i="1"/>
  <c r="L184" i="1"/>
  <c r="K184" i="1"/>
  <c r="J184" i="1"/>
  <c r="I184" i="1"/>
  <c r="H184" i="1"/>
  <c r="G184" i="1"/>
  <c r="F184" i="1"/>
  <c r="R183" i="1"/>
  <c r="Q181" i="1"/>
  <c r="P181" i="1"/>
  <c r="O181" i="1"/>
  <c r="N181" i="1"/>
  <c r="M181" i="1"/>
  <c r="L181" i="1"/>
  <c r="K181" i="1"/>
  <c r="J181" i="1"/>
  <c r="I181" i="1"/>
  <c r="H181" i="1"/>
  <c r="G181" i="1"/>
  <c r="F181" i="1"/>
  <c r="R180" i="1"/>
  <c r="R179" i="1"/>
  <c r="R178" i="1"/>
  <c r="R177" i="1"/>
  <c r="R176" i="1"/>
  <c r="Q174" i="1"/>
  <c r="P174" i="1"/>
  <c r="O174" i="1"/>
  <c r="N174" i="1"/>
  <c r="M174" i="1"/>
  <c r="L174" i="1"/>
  <c r="K174" i="1"/>
  <c r="J174" i="1"/>
  <c r="I174" i="1"/>
  <c r="H174" i="1"/>
  <c r="G174" i="1"/>
  <c r="F174" i="1"/>
  <c r="R173" i="1"/>
  <c r="Q171" i="1"/>
  <c r="P171" i="1"/>
  <c r="O171" i="1"/>
  <c r="N171" i="1"/>
  <c r="M171" i="1"/>
  <c r="L171" i="1"/>
  <c r="K171" i="1"/>
  <c r="J171" i="1"/>
  <c r="I171" i="1"/>
  <c r="H171" i="1"/>
  <c r="G171" i="1"/>
  <c r="F171" i="1"/>
  <c r="R170" i="1"/>
  <c r="R169" i="1"/>
  <c r="Q167" i="1"/>
  <c r="P167" i="1"/>
  <c r="O167" i="1"/>
  <c r="N167" i="1"/>
  <c r="M167" i="1"/>
  <c r="L167" i="1"/>
  <c r="K167" i="1"/>
  <c r="J167" i="1"/>
  <c r="I167" i="1"/>
  <c r="H167" i="1"/>
  <c r="G167" i="1"/>
  <c r="F167" i="1"/>
  <c r="R166" i="1"/>
  <c r="Q164" i="1"/>
  <c r="P164" i="1"/>
  <c r="O164" i="1"/>
  <c r="N164" i="1"/>
  <c r="M164" i="1"/>
  <c r="L164" i="1"/>
  <c r="K164" i="1"/>
  <c r="J164" i="1"/>
  <c r="I164" i="1"/>
  <c r="H164" i="1"/>
  <c r="G164" i="1"/>
  <c r="F164" i="1"/>
  <c r="R163" i="1"/>
  <c r="R162" i="1"/>
  <c r="R161" i="1"/>
  <c r="R160" i="1"/>
  <c r="R159" i="1"/>
  <c r="R156" i="1"/>
  <c r="Q150" i="1"/>
  <c r="P150" i="1"/>
  <c r="O150" i="1"/>
  <c r="N150" i="1"/>
  <c r="M150" i="1"/>
  <c r="L150" i="1"/>
  <c r="K150" i="1"/>
  <c r="J150" i="1"/>
  <c r="I150" i="1"/>
  <c r="H150" i="1"/>
  <c r="G150" i="1"/>
  <c r="F150" i="1"/>
  <c r="R149" i="1"/>
  <c r="R148" i="1"/>
  <c r="R147" i="1"/>
  <c r="R146" i="1"/>
  <c r="Q144" i="1"/>
  <c r="P144" i="1"/>
  <c r="O144" i="1"/>
  <c r="N144" i="1"/>
  <c r="M144" i="1"/>
  <c r="L144" i="1"/>
  <c r="K144" i="1"/>
  <c r="J144" i="1"/>
  <c r="I144" i="1"/>
  <c r="H144" i="1"/>
  <c r="G144" i="1"/>
  <c r="F144" i="1"/>
  <c r="R143" i="1"/>
  <c r="Q141" i="1"/>
  <c r="P141" i="1"/>
  <c r="O141" i="1"/>
  <c r="N141" i="1"/>
  <c r="M141" i="1"/>
  <c r="L141" i="1"/>
  <c r="K141" i="1"/>
  <c r="J141" i="1"/>
  <c r="I141" i="1"/>
  <c r="H141" i="1"/>
  <c r="G141" i="1"/>
  <c r="F141" i="1"/>
  <c r="R140" i="1"/>
  <c r="R139" i="1"/>
  <c r="Q137" i="1"/>
  <c r="P137" i="1"/>
  <c r="O137" i="1"/>
  <c r="N137" i="1"/>
  <c r="M137" i="1"/>
  <c r="L137" i="1"/>
  <c r="K137" i="1"/>
  <c r="J137" i="1"/>
  <c r="I137" i="1"/>
  <c r="H137" i="1"/>
  <c r="G137" i="1"/>
  <c r="F137" i="1"/>
  <c r="R136" i="1"/>
  <c r="R135" i="1"/>
  <c r="R134" i="1"/>
  <c r="R133" i="1"/>
  <c r="R132" i="1"/>
  <c r="R131" i="1"/>
  <c r="R130" i="1"/>
  <c r="R129" i="1"/>
  <c r="R128" i="1"/>
  <c r="R127" i="1"/>
  <c r="R126" i="1"/>
  <c r="R125" i="1"/>
  <c r="R124" i="1"/>
  <c r="Q122" i="1"/>
  <c r="P122" i="1"/>
  <c r="O122" i="1"/>
  <c r="N122" i="1"/>
  <c r="M122" i="1"/>
  <c r="L122" i="1"/>
  <c r="K122" i="1"/>
  <c r="J122" i="1"/>
  <c r="I122" i="1"/>
  <c r="H122" i="1"/>
  <c r="G122" i="1"/>
  <c r="F122" i="1"/>
  <c r="R121" i="1"/>
  <c r="R120" i="1"/>
  <c r="Q114" i="1"/>
  <c r="P114" i="1"/>
  <c r="O114" i="1"/>
  <c r="N114" i="1"/>
  <c r="M114" i="1"/>
  <c r="L114" i="1"/>
  <c r="K114" i="1"/>
  <c r="J114" i="1"/>
  <c r="I114" i="1"/>
  <c r="H114" i="1"/>
  <c r="G114" i="1"/>
  <c r="F114" i="1"/>
  <c r="R113" i="1"/>
  <c r="J111" i="1"/>
  <c r="H111" i="1"/>
  <c r="Q108" i="1"/>
  <c r="P108" i="1"/>
  <c r="O108" i="1"/>
  <c r="N108" i="1"/>
  <c r="M108" i="1"/>
  <c r="L108" i="1"/>
  <c r="K108" i="1"/>
  <c r="J108" i="1"/>
  <c r="I108" i="1"/>
  <c r="H108" i="1"/>
  <c r="G108" i="1"/>
  <c r="F108" i="1"/>
  <c r="R107" i="1"/>
  <c r="R105" i="1"/>
  <c r="Q103" i="1"/>
  <c r="P103" i="1"/>
  <c r="O103" i="1"/>
  <c r="N103" i="1"/>
  <c r="M103" i="1"/>
  <c r="L103" i="1"/>
  <c r="K103" i="1"/>
  <c r="J103" i="1"/>
  <c r="I103" i="1"/>
  <c r="H103" i="1"/>
  <c r="G103" i="1"/>
  <c r="F103" i="1"/>
  <c r="R102" i="1"/>
  <c r="R101" i="1"/>
  <c r="R99" i="1"/>
  <c r="R98" i="1"/>
  <c r="R97" i="1"/>
  <c r="R96" i="1"/>
  <c r="R95" i="1"/>
  <c r="R93" i="1"/>
  <c r="R92" i="1"/>
  <c r="R91" i="1"/>
  <c r="R90" i="1"/>
  <c r="R89" i="1"/>
  <c r="R88" i="1"/>
  <c r="R87" i="1"/>
  <c r="R86" i="1"/>
  <c r="R79" i="1"/>
  <c r="Q77" i="1"/>
  <c r="P77" i="1"/>
  <c r="O77" i="1"/>
  <c r="N77" i="1"/>
  <c r="M77" i="1"/>
  <c r="L77" i="1"/>
  <c r="K77" i="1"/>
  <c r="J77" i="1"/>
  <c r="I77" i="1"/>
  <c r="H77" i="1"/>
  <c r="G77" i="1"/>
  <c r="F77" i="1"/>
  <c r="R76" i="1"/>
  <c r="R72" i="1"/>
  <c r="R70" i="1"/>
  <c r="R69" i="1"/>
  <c r="Q67" i="1"/>
  <c r="P67" i="1"/>
  <c r="O67" i="1"/>
  <c r="N67" i="1"/>
  <c r="M67" i="1"/>
  <c r="L67" i="1"/>
  <c r="K67" i="1"/>
  <c r="J67" i="1"/>
  <c r="I67" i="1"/>
  <c r="H67" i="1"/>
  <c r="G67" i="1"/>
  <c r="F67" i="1"/>
  <c r="R67" i="1" s="1"/>
  <c r="R66" i="1"/>
  <c r="R64" i="1"/>
  <c r="R62" i="1"/>
  <c r="R61" i="1"/>
  <c r="R60" i="1"/>
  <c r="R59" i="1"/>
  <c r="P57" i="1"/>
  <c r="O57" i="1"/>
  <c r="N57" i="1"/>
  <c r="M57" i="1"/>
  <c r="L57" i="1"/>
  <c r="K57" i="1"/>
  <c r="J57" i="1"/>
  <c r="I57" i="1"/>
  <c r="H57" i="1"/>
  <c r="G57" i="1"/>
  <c r="F57" i="1"/>
  <c r="R56" i="1"/>
  <c r="R54" i="1"/>
  <c r="R52" i="1"/>
  <c r="R51" i="1"/>
  <c r="R49" i="1"/>
  <c r="R48" i="1"/>
  <c r="R45" i="1"/>
  <c r="R43" i="1"/>
  <c r="R42" i="1"/>
  <c r="Q37" i="1"/>
  <c r="P37" i="1"/>
  <c r="O37" i="1"/>
  <c r="N37" i="1"/>
  <c r="M37" i="1"/>
  <c r="L37" i="1"/>
  <c r="K37" i="1"/>
  <c r="J37" i="1"/>
  <c r="I37" i="1"/>
  <c r="H37" i="1"/>
  <c r="G37" i="1"/>
  <c r="R37" i="1"/>
  <c r="R36" i="1"/>
  <c r="R32" i="1"/>
  <c r="Q30" i="1"/>
  <c r="P30" i="1"/>
  <c r="O30" i="1"/>
  <c r="N30" i="1"/>
  <c r="M30" i="1"/>
  <c r="L30" i="1"/>
  <c r="K30" i="1"/>
  <c r="J30" i="1"/>
  <c r="I30" i="1"/>
  <c r="H30" i="1"/>
  <c r="G30" i="1"/>
  <c r="F30" i="1"/>
  <c r="R29" i="1"/>
  <c r="R28" i="1"/>
  <c r="R27" i="1"/>
  <c r="R26" i="1"/>
  <c r="R25" i="1"/>
  <c r="R24" i="1"/>
  <c r="R19" i="1"/>
  <c r="R17" i="1"/>
  <c r="R15" i="1"/>
  <c r="R14" i="1"/>
  <c r="R13" i="1"/>
  <c r="R12" i="1"/>
  <c r="R11" i="1"/>
  <c r="R10" i="1"/>
  <c r="R9" i="1"/>
  <c r="R8" i="1"/>
  <c r="R7" i="1"/>
  <c r="R6" i="1"/>
  <c r="R5" i="1"/>
  <c r="R4" i="1"/>
  <c r="S66" i="1" l="1"/>
  <c r="S64" i="1"/>
  <c r="S63" i="1"/>
  <c r="S62" i="1"/>
  <c r="S61" i="1"/>
  <c r="S60" i="1"/>
  <c r="S59" i="1"/>
  <c r="S65" i="1"/>
  <c r="Q50" i="1"/>
  <c r="R50" i="1" s="1"/>
  <c r="Q47" i="1"/>
  <c r="R110" i="1"/>
  <c r="H22" i="1"/>
  <c r="R74" i="1"/>
  <c r="R141" i="1"/>
  <c r="K188" i="1"/>
  <c r="R181" i="1"/>
  <c r="R171" i="1"/>
  <c r="R114" i="1"/>
  <c r="S113" i="1" s="1"/>
  <c r="S114" i="1" s="1"/>
  <c r="F188" i="1"/>
  <c r="N188" i="1"/>
  <c r="R174" i="1"/>
  <c r="R184" i="1"/>
  <c r="R111" i="1"/>
  <c r="G188" i="1"/>
  <c r="O188" i="1"/>
  <c r="R167" i="1"/>
  <c r="R137" i="1"/>
  <c r="M188" i="1"/>
  <c r="R103" i="1"/>
  <c r="S94" i="1" s="1"/>
  <c r="R150" i="1"/>
  <c r="H188" i="1"/>
  <c r="P188" i="1"/>
  <c r="I188" i="1"/>
  <c r="Q188" i="1"/>
  <c r="L188" i="1"/>
  <c r="R187" i="1"/>
  <c r="R81" i="1"/>
  <c r="R122" i="1"/>
  <c r="S121" i="1" s="1"/>
  <c r="R77" i="1"/>
  <c r="S76" i="1" s="1"/>
  <c r="S77" i="1" s="1"/>
  <c r="R144" i="1"/>
  <c r="S143" i="1" s="1"/>
  <c r="S144" i="1" s="1"/>
  <c r="J188" i="1"/>
  <c r="R164" i="1"/>
  <c r="R108" i="1"/>
  <c r="L22" i="1"/>
  <c r="P22" i="1"/>
  <c r="I22" i="1"/>
  <c r="K22" i="1"/>
  <c r="M22" i="1"/>
  <c r="R21" i="1"/>
  <c r="F22" i="1"/>
  <c r="N22" i="1"/>
  <c r="G22" i="1"/>
  <c r="O22" i="1"/>
  <c r="J22" i="1"/>
  <c r="R30" i="1"/>
  <c r="S72" i="1" l="1"/>
  <c r="S71" i="1"/>
  <c r="S70" i="1"/>
  <c r="S69" i="1"/>
  <c r="S73" i="1"/>
  <c r="S106" i="1"/>
  <c r="S105" i="1"/>
  <c r="S107" i="1"/>
  <c r="S118" i="1"/>
  <c r="S116" i="1"/>
  <c r="S117" i="1"/>
  <c r="S119" i="1"/>
  <c r="S120" i="1"/>
  <c r="S80" i="1"/>
  <c r="S79" i="1"/>
  <c r="S81" i="1" s="1"/>
  <c r="S146" i="1"/>
  <c r="S147" i="1"/>
  <c r="S148" i="1"/>
  <c r="S149" i="1"/>
  <c r="S100" i="1"/>
  <c r="S86" i="1"/>
  <c r="S87" i="1"/>
  <c r="S88" i="1"/>
  <c r="S89" i="1"/>
  <c r="S90" i="1"/>
  <c r="S91" i="1"/>
  <c r="S92" i="1"/>
  <c r="S93" i="1"/>
  <c r="S95" i="1"/>
  <c r="S96" i="1"/>
  <c r="S97" i="1"/>
  <c r="S98" i="1"/>
  <c r="S99" i="1"/>
  <c r="S101" i="1"/>
  <c r="S102" i="1"/>
  <c r="S124" i="1"/>
  <c r="S125" i="1"/>
  <c r="S126" i="1"/>
  <c r="S127" i="1"/>
  <c r="S128" i="1"/>
  <c r="S129" i="1"/>
  <c r="S130" i="1"/>
  <c r="S131" i="1"/>
  <c r="S132" i="1"/>
  <c r="S133" i="1"/>
  <c r="S134" i="1"/>
  <c r="S135" i="1"/>
  <c r="S136" i="1"/>
  <c r="S139" i="1"/>
  <c r="S140" i="1"/>
  <c r="S110" i="1"/>
  <c r="S111" i="1" s="1"/>
  <c r="S67" i="1"/>
  <c r="Q57" i="1"/>
  <c r="R57" i="1" s="1"/>
  <c r="S53" i="1" s="1"/>
  <c r="R47" i="1"/>
  <c r="R188" i="1"/>
  <c r="R22" i="1"/>
  <c r="S74" i="1" l="1"/>
  <c r="S185" i="1"/>
  <c r="S182" i="1"/>
  <c r="S175" i="1"/>
  <c r="S172" i="1"/>
  <c r="S168" i="1"/>
  <c r="S169" i="1"/>
  <c r="S170" i="1"/>
  <c r="S173" i="1"/>
  <c r="S176" i="1"/>
  <c r="S177" i="1"/>
  <c r="S178" i="1"/>
  <c r="S179" i="1"/>
  <c r="S180" i="1"/>
  <c r="S183" i="1"/>
  <c r="S186" i="1"/>
  <c r="S164" i="1"/>
  <c r="S187" i="1"/>
  <c r="S167" i="1"/>
  <c r="S184" i="1"/>
  <c r="S174" i="1"/>
  <c r="S171" i="1"/>
  <c r="S181" i="1"/>
  <c r="S141" i="1"/>
  <c r="S137" i="1"/>
  <c r="S103" i="1"/>
  <c r="S150" i="1"/>
  <c r="S108" i="1"/>
  <c r="S56" i="1"/>
  <c r="S55" i="1"/>
  <c r="S54" i="1"/>
  <c r="S52" i="1"/>
  <c r="S51" i="1"/>
  <c r="S50" i="1"/>
  <c r="S49" i="1"/>
  <c r="S47" i="1"/>
  <c r="S46" i="1"/>
  <c r="S45" i="1"/>
  <c r="S44" i="1"/>
  <c r="S43" i="1"/>
  <c r="S42" i="1"/>
  <c r="S48" i="1"/>
  <c r="G38" i="1"/>
  <c r="H38" i="1"/>
  <c r="I38" i="1"/>
  <c r="J38" i="1"/>
  <c r="K38" i="1"/>
  <c r="L38" i="1"/>
  <c r="M38" i="1"/>
  <c r="N38" i="1"/>
  <c r="O38" i="1"/>
  <c r="P38" i="1"/>
  <c r="Q38" i="1"/>
  <c r="G84" i="1"/>
  <c r="G155" i="1" s="1"/>
  <c r="G189" i="1" s="1"/>
  <c r="F84" i="1"/>
  <c r="S188" i="1" l="1"/>
  <c r="S57" i="1"/>
  <c r="F38" i="1"/>
  <c r="R38" i="1" s="1"/>
  <c r="R18" i="1"/>
  <c r="S18" i="1" s="1"/>
  <c r="G190" i="1"/>
  <c r="F155" i="1"/>
  <c r="S19" i="1" l="1"/>
  <c r="S37" i="1"/>
  <c r="S30" i="1"/>
  <c r="S22" i="1"/>
  <c r="H84" i="1"/>
  <c r="I84" i="1"/>
  <c r="I155" i="1" s="1"/>
  <c r="I189" i="1" s="1"/>
  <c r="F189" i="1"/>
  <c r="S38" i="1" l="1"/>
  <c r="I190" i="1"/>
  <c r="J84" i="1"/>
  <c r="J155" i="1" s="1"/>
  <c r="J189" i="1" s="1"/>
  <c r="F190" i="1"/>
  <c r="H155" i="1"/>
  <c r="J190" i="1" l="1"/>
  <c r="H189" i="1"/>
  <c r="K84" i="1"/>
  <c r="K155" i="1" s="1"/>
  <c r="K189" i="1" s="1"/>
  <c r="K190" i="1" l="1"/>
  <c r="H190" i="1"/>
  <c r="L84" i="1" l="1"/>
  <c r="M84" i="1"/>
  <c r="M155" i="1" s="1"/>
  <c r="M189" i="1" s="1"/>
  <c r="M190" i="1" l="1"/>
  <c r="L155" i="1"/>
  <c r="N84" i="1"/>
  <c r="N155" i="1" s="1"/>
  <c r="N189" i="1" s="1"/>
  <c r="L189" i="1" l="1"/>
  <c r="N190" i="1"/>
  <c r="O84" i="1"/>
  <c r="O155" i="1" s="1"/>
  <c r="O189" i="1" s="1"/>
  <c r="O190" i="1" l="1"/>
  <c r="P84" i="1"/>
  <c r="P155" i="1" s="1"/>
  <c r="P189" i="1" s="1"/>
  <c r="L190" i="1"/>
  <c r="P190" i="1" l="1"/>
  <c r="Q84" i="1" l="1"/>
  <c r="R83" i="1"/>
  <c r="Q155" i="1" l="1"/>
  <c r="R84" i="1"/>
  <c r="S83" i="1" s="1"/>
  <c r="S84" i="1" s="1"/>
  <c r="Q189" i="1" l="1"/>
  <c r="R155" i="1"/>
  <c r="Q190" i="1" l="1"/>
  <c r="R190" i="1" s="1"/>
  <c r="R189" i="1"/>
</calcChain>
</file>

<file path=xl/sharedStrings.xml><?xml version="1.0" encoding="utf-8"?>
<sst xmlns="http://schemas.openxmlformats.org/spreadsheetml/2006/main" count="648" uniqueCount="457">
  <si>
    <t>TOTAL</t>
  </si>
  <si>
    <t>Income</t>
  </si>
  <si>
    <t>110-R · General Operating</t>
  </si>
  <si>
    <t>3310001 · Base Student Allocation</t>
  </si>
  <si>
    <t>3310002 · Discretionary Local Efforts</t>
  </si>
  <si>
    <t>3310005 · Supplemental Academic Instructi</t>
  </si>
  <si>
    <t>3310006 · ESE Guaranteed</t>
  </si>
  <si>
    <t>3310010 · Mental Health</t>
  </si>
  <si>
    <t>3310014 · Digital Classroom</t>
  </si>
  <si>
    <t>3310216 · Reading Allocation</t>
  </si>
  <si>
    <t>3310217 · Safe Schools</t>
  </si>
  <si>
    <t>3310220 · Teacher Salary Allocation</t>
  </si>
  <si>
    <t>3334579 · Teacher Lead Program</t>
  </si>
  <si>
    <t>3336215 · Instructional Materials</t>
  </si>
  <si>
    <t>3355216 · Class Size Reduction</t>
  </si>
  <si>
    <t>Total 110-R · General Operating</t>
  </si>
  <si>
    <t>3326 · Interest Income Bond</t>
  </si>
  <si>
    <t>3397000 · Capital Outlay</t>
  </si>
  <si>
    <t>Total 3397000 · Capital Outlay</t>
  </si>
  <si>
    <t>411-R · Internal Revenue</t>
  </si>
  <si>
    <t>3454 · Enrichment</t>
  </si>
  <si>
    <t>3492000 · Contributrions &amp; Donations</t>
  </si>
  <si>
    <t>3493000 · Fund Raiser</t>
  </si>
  <si>
    <t>3495000 · Miscellaneous Income</t>
  </si>
  <si>
    <t>3496000 · Field Trips</t>
  </si>
  <si>
    <t>411-R · Internal Revenue - Other</t>
  </si>
  <si>
    <t>Total 411-R · Internal Revenue</t>
  </si>
  <si>
    <t>421-R · Federal Grants</t>
  </si>
  <si>
    <t>3240312 · ESSER</t>
  </si>
  <si>
    <t>Total 421-R · Federal Grants</t>
  </si>
  <si>
    <t>Total Income</t>
  </si>
  <si>
    <t>Expense</t>
  </si>
  <si>
    <t>110-E · Expenditures</t>
  </si>
  <si>
    <t>5100000 · Instruction</t>
  </si>
  <si>
    <t>5100120 · Classroom Teachers</t>
  </si>
  <si>
    <t>5100160 · Other Support Services</t>
  </si>
  <si>
    <t>5100220 · Social Security</t>
  </si>
  <si>
    <t>5100230 · Group Insurance</t>
  </si>
  <si>
    <t>5100250 · Unemployment Compensation</t>
  </si>
  <si>
    <t>5100260 · Medicare</t>
  </si>
  <si>
    <t>5100510 · Classroom Supplies</t>
  </si>
  <si>
    <t>5100520 · Textbooks</t>
  </si>
  <si>
    <t>5100590 · Other Materials and Supplies</t>
  </si>
  <si>
    <t>5100730 · Dues and Subscriptions</t>
  </si>
  <si>
    <t>Total 5100000 · Instruction</t>
  </si>
  <si>
    <t>5200000 · ESE Instruction</t>
  </si>
  <si>
    <t>5200120 · Classroom Teachers ESE</t>
  </si>
  <si>
    <t>5200130 · Other Instructional Personnel</t>
  </si>
  <si>
    <t>5200160 · Other Support Personnel</t>
  </si>
  <si>
    <t>5200220 · Social Security ESE</t>
  </si>
  <si>
    <t>5200260 · Medicare ESE</t>
  </si>
  <si>
    <t>5200510 · ESE Supplies</t>
  </si>
  <si>
    <t>Total 5200000 · ESE Instruction</t>
  </si>
  <si>
    <t>6100000 · Student Support Services</t>
  </si>
  <si>
    <t>6100220 · Nurse Social Security</t>
  </si>
  <si>
    <t>6100260 · Nurse Medicare</t>
  </si>
  <si>
    <t>Total 6100000 · Student Support Services</t>
  </si>
  <si>
    <t>Total 6300000 · Instruction &amp; Curriculum Develo</t>
  </si>
  <si>
    <t>7100000 · Board Expenses</t>
  </si>
  <si>
    <t>7100310 · Professional and Technical Serv</t>
  </si>
  <si>
    <t>Total 7100000 · Board Expenses</t>
  </si>
  <si>
    <t>7200000 · General Administration</t>
  </si>
  <si>
    <t>7200730 · District Administrative Fee</t>
  </si>
  <si>
    <t>Total 7200000 · General Administration</t>
  </si>
  <si>
    <t>7300000 · School Administration</t>
  </si>
  <si>
    <t>7300110 · Admin Salary</t>
  </si>
  <si>
    <t>7300160 · Administrtive support</t>
  </si>
  <si>
    <t>7300220 · Social Security Admin</t>
  </si>
  <si>
    <t>7300240 · Workers Compensation Admin</t>
  </si>
  <si>
    <t>7300250 · Unemployment Comp Admin</t>
  </si>
  <si>
    <t>7300260 · Medicare Admin</t>
  </si>
  <si>
    <t>7300320 · Insurance</t>
  </si>
  <si>
    <t>7300330 · Travel Costs</t>
  </si>
  <si>
    <t>7300391 · Advertising</t>
  </si>
  <si>
    <t>7300392 · Printing</t>
  </si>
  <si>
    <t>7300393 · Postage</t>
  </si>
  <si>
    <t>7300510 · Office Supplies</t>
  </si>
  <si>
    <t>7300590 · Other Materials and Supplies</t>
  </si>
  <si>
    <t>7300730 · Dues and Subscriptions</t>
  </si>
  <si>
    <t>7300780 · Depreciation</t>
  </si>
  <si>
    <t>Total 7300000 · School Administration</t>
  </si>
  <si>
    <t>7400000 · Facility and Acquisition</t>
  </si>
  <si>
    <t>7400360 · Rent</t>
  </si>
  <si>
    <t>7400780 · Facility Depreciation</t>
  </si>
  <si>
    <t>Total 7400000 · Facility and Acquisition</t>
  </si>
  <si>
    <t>7500000 · Fiscal Services</t>
  </si>
  <si>
    <t>7500310 · Professional &amp; Technical Servic</t>
  </si>
  <si>
    <t>Total 7500000 · Fiscal Services</t>
  </si>
  <si>
    <t>7720000 · Information Services</t>
  </si>
  <si>
    <t>Total 7720000 · Information Services</t>
  </si>
  <si>
    <t>7800000 · Transportation</t>
  </si>
  <si>
    <t>7800390 · Transportation (Regular)</t>
  </si>
  <si>
    <t>Total 7800000 · Transportation</t>
  </si>
  <si>
    <t>7900000 · Operations of the Plant</t>
  </si>
  <si>
    <t>7900160 · Other Support Services</t>
  </si>
  <si>
    <t>7900220 · Social Security</t>
  </si>
  <si>
    <t>7900250 · Unemployment</t>
  </si>
  <si>
    <t>7900260 · Medicare</t>
  </si>
  <si>
    <t>7900310 · Prof and Tech Expenses</t>
  </si>
  <si>
    <t>7900320 · Insurance and Bond Premium</t>
  </si>
  <si>
    <t>7900370 · Telephone</t>
  </si>
  <si>
    <t>7900380 · Public Utilities Services</t>
  </si>
  <si>
    <t>7900390 · Purchased Services</t>
  </si>
  <si>
    <t>7900391 · Security</t>
  </si>
  <si>
    <t>7900430 · Electricity</t>
  </si>
  <si>
    <t>7900590 · Other Materials and Supplies</t>
  </si>
  <si>
    <t>7900730 · Dues and Fees</t>
  </si>
  <si>
    <t>Total 7900000 · Operations of the Plant</t>
  </si>
  <si>
    <t>8100000 · Maintenance of Plant</t>
  </si>
  <si>
    <t>8100310 · Repair and Maintenance Prof and</t>
  </si>
  <si>
    <t>8100350 · Repairs and Maintenance</t>
  </si>
  <si>
    <t>Total 8100000 · Maintenance of Plant</t>
  </si>
  <si>
    <t>8200000 · Technology Services</t>
  </si>
  <si>
    <t>8200310 · Professional and Technical Serv</t>
  </si>
  <si>
    <t>Total 8200000 · Technology Services</t>
  </si>
  <si>
    <t>9100000 · Community Services</t>
  </si>
  <si>
    <t>9100160 · Aftercare Salaries</t>
  </si>
  <si>
    <t>9100220 · Aftercare Social Security</t>
  </si>
  <si>
    <t>9100260 · Aftercare Medicare</t>
  </si>
  <si>
    <t>9100590 · Other Materials and Supplies</t>
  </si>
  <si>
    <t>Total 9100000 · Community Services</t>
  </si>
  <si>
    <t>Total 9200000 · Debt Services</t>
  </si>
  <si>
    <t>Total 110-E · Expenditures</t>
  </si>
  <si>
    <t>411-E · Internal Expenses</t>
  </si>
  <si>
    <t>421-E · Federal Grant Expenses</t>
  </si>
  <si>
    <t>510000T · Instruction</t>
  </si>
  <si>
    <t>510-510 · Academic Supplies</t>
  </si>
  <si>
    <t>510-520 · Textbooks</t>
  </si>
  <si>
    <t>510-610 · Library Books</t>
  </si>
  <si>
    <t>510-642 · NonCap Furnitutre Fix and Equip</t>
  </si>
  <si>
    <t>510-644 · NonCap Computer Hardware</t>
  </si>
  <si>
    <t>Total 510000T · Instruction</t>
  </si>
  <si>
    <t>640000T · Instructional Staffing Services</t>
  </si>
  <si>
    <t>640-310 · Prof and Tech Services</t>
  </si>
  <si>
    <t>Total 640000T · Instructional Staffing Services</t>
  </si>
  <si>
    <t>650000T · Instructional-Realated Technolo</t>
  </si>
  <si>
    <t>650-319 · Tech Related Professional Servi</t>
  </si>
  <si>
    <t>650-644 · NonCap Computer Hardware</t>
  </si>
  <si>
    <t>Total 650000T · Instructional-Realated Technolo</t>
  </si>
  <si>
    <t>710000T · Board Expenses</t>
  </si>
  <si>
    <t>710-320 · Insurance</t>
  </si>
  <si>
    <t>Total 710000T · Board Expenses</t>
  </si>
  <si>
    <t>730000T · School Administration</t>
  </si>
  <si>
    <t>730-369 · Tech Related Rentals</t>
  </si>
  <si>
    <t>730-642 · NonCap Furnitutre Fix and Equip</t>
  </si>
  <si>
    <t>730-643 · Cap Computer Hardware</t>
  </si>
  <si>
    <t>730-648 · Tech Cap Furnitutre Fix and Equ</t>
  </si>
  <si>
    <t>730-730 · Dues and Fees</t>
  </si>
  <si>
    <t>Total 730000T · School Administration</t>
  </si>
  <si>
    <t>750000T · Fiscal Services</t>
  </si>
  <si>
    <t>750-310 · Prof and Tech</t>
  </si>
  <si>
    <t>Total 750000T · Fiscal Services</t>
  </si>
  <si>
    <t>772000T · Information Services</t>
  </si>
  <si>
    <t>772-390 · Other Purchased Services</t>
  </si>
  <si>
    <t>Total 772000T · Information Services</t>
  </si>
  <si>
    <t>Total 421-E · Federal Grant Expenses</t>
  </si>
  <si>
    <t>Total Expense</t>
  </si>
  <si>
    <t>Net Income</t>
  </si>
  <si>
    <t>(Insert district number in cell A1, enter, then strike F9. Your district data then pulls from Calculation Detail Sheets)</t>
  </si>
  <si>
    <t xml:space="preserve"> Revenue Estimate Worksheet for___________Charter School </t>
  </si>
  <si>
    <t xml:space="preserve">School District: </t>
  </si>
  <si>
    <t>Base Student Allocation</t>
  </si>
  <si>
    <t>Program</t>
  </si>
  <si>
    <t>Weighted FTE</t>
  </si>
  <si>
    <t>Base Funding</t>
  </si>
  <si>
    <t>Number of FTE</t>
  </si>
  <si>
    <t>Cost Factor</t>
  </si>
  <si>
    <t>(2) x (3)</t>
  </si>
  <si>
    <t>(1)</t>
  </si>
  <si>
    <t>(2)</t>
  </si>
  <si>
    <t>(3)</t>
  </si>
  <si>
    <t>(4)</t>
  </si>
  <si>
    <t>(5)</t>
  </si>
  <si>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</si>
  <si>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</si>
  <si>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</si>
  <si>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</si>
  <si>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</si>
  <si>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</si>
  <si>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</si>
  <si>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</si>
  <si>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</si>
  <si>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</si>
  <si>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</si>
  <si>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</si>
  <si>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</si>
  <si>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</si>
  <si>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</si>
  <si>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</si>
  <si>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Totals</t>
  </si>
  <si>
    <t>Letters in Parentheses Refer to Notes at Bottom of Worksheet:</t>
  </si>
  <si>
    <r>
      <t xml:space="preserve">Number of FTE
</t>
    </r>
    <r>
      <rPr>
        <i/>
        <sz val="9"/>
        <color indexed="10"/>
        <rFont val="Times New Roman"/>
        <family val="1"/>
      </rPr>
      <t>Charter schools should contact their school district sponsor regarding eligible FTE. Please note that “Number of FTE” is NOT equivalent to number of students enrolled in these courses or programs. Please refer to footnote (a) below.</t>
    </r>
  </si>
  <si>
    <t>Advanced Placement</t>
  </si>
  <si>
    <t>International Baccalaureate</t>
  </si>
  <si>
    <t>Advanced International Certificate</t>
  </si>
  <si>
    <t>Industry Certified Career Education</t>
  </si>
  <si>
    <t>Early High School Graduation</t>
  </si>
  <si>
    <t>Small District ESE Supplement</t>
  </si>
  <si>
    <t>Dual Enrollment</t>
  </si>
  <si>
    <t>Total Additional FTE</t>
  </si>
  <si>
    <t>Additional Base Funds</t>
  </si>
  <si>
    <t xml:space="preserve">Total Funded Weighted FTE </t>
  </si>
  <si>
    <t>Total Base Funding</t>
  </si>
  <si>
    <t>2.   ESE Guaranteed Allocation:</t>
  </si>
  <si>
    <t>FTE</t>
  </si>
  <si>
    <t>Grade Level</t>
  </si>
  <si>
    <t>Matrix Level</t>
  </si>
  <si>
    <t>Guarantee Per Student</t>
  </si>
  <si>
    <t>Additional Funding from the ESE Guaranteed Allocation. Enter the FTE from 111,112 and 113 by grade and matrix level.  Students who do not have a matrix level should be considered 251.  This total should equal all FTE from programs 111, 112 and 113 above.</t>
  </si>
  <si>
    <t>PK-3</t>
  </si>
  <si>
    <t>4-8</t>
  </si>
  <si>
    <t>9-12</t>
  </si>
  <si>
    <t>Total FTE with ESE Services</t>
  </si>
  <si>
    <t>Total ESE Guarantee</t>
  </si>
  <si>
    <t xml:space="preserve"> UFTE share.           Charter School UFTE: </t>
  </si>
  <si>
    <t>÷</t>
  </si>
  <si>
    <t>District's Total UFTE:</t>
  </si>
  <si>
    <t>=</t>
  </si>
  <si>
    <t xml:space="preserve"> WFTE share.          Charter School WFTE: </t>
  </si>
  <si>
    <t>District's Total WFTE:</t>
  </si>
  <si>
    <t>(b)</t>
  </si>
  <si>
    <t>x</t>
  </si>
  <si>
    <t>5.   Discretionary Millage Compression Allocation</t>
  </si>
  <si>
    <t>.748 Mills (UFTE share)</t>
  </si>
  <si>
    <t>(e)</t>
  </si>
  <si>
    <t>(c)</t>
  </si>
  <si>
    <t>(f)</t>
  </si>
  <si>
    <t>Weighted FTE (not including Add-On)</t>
  </si>
  <si>
    <t>Allocation factors</t>
  </si>
  <si>
    <t>PK - 3</t>
  </si>
  <si>
    <r>
      <t xml:space="preserve">Total </t>
    </r>
    <r>
      <rPr>
        <b/>
        <sz val="12"/>
        <color indexed="30"/>
        <rFont val="Times New Roman"/>
        <family val="1"/>
      </rPr>
      <t>*</t>
    </r>
  </si>
  <si>
    <t>Total Class Size Reduction Funds</t>
  </si>
  <si>
    <t>(*Total FTE should equal total in Section 1, column (4) and should not include any additional FTE from Section 1.)</t>
  </si>
  <si>
    <t>Enter All Adjusted Fundable Riders</t>
  </si>
  <si>
    <t xml:space="preserve"> x</t>
  </si>
  <si>
    <t>(h)</t>
  </si>
  <si>
    <t>Impact Aid Student Type</t>
  </si>
  <si>
    <t>Number of Students</t>
  </si>
  <si>
    <t>Exempt Property Allocation</t>
  </si>
  <si>
    <t>Impact Aid Student Allocation</t>
  </si>
  <si>
    <t>Total</t>
  </si>
  <si>
    <t>Military and Indian Lands</t>
  </si>
  <si>
    <t>Civilians on Federal Lands</t>
  </si>
  <si>
    <t>Students with Disabilities</t>
  </si>
  <si>
    <t>(i)</t>
  </si>
  <si>
    <t>(j)</t>
  </si>
  <si>
    <t>(k)</t>
  </si>
  <si>
    <t>If you have more than a 75% ESE student population, please place a 1 in the following box:</t>
  </si>
  <si>
    <t>NOTES:</t>
  </si>
  <si>
    <t>(b) District allocations multiplied by percentage from item 3A.</t>
  </si>
  <si>
    <t>(c) District allocations multiplied by percentage from item 3B.</t>
  </si>
  <si>
    <t xml:space="preserve">(j) Funding based on student eligibility and meals provided, if participating in the National School Lunch Program. </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</si>
  <si>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</si>
  <si>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</si>
  <si>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</si>
  <si>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</si>
  <si>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</si>
  <si>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</si>
  <si>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t>32XXXXX · Title I</t>
  </si>
  <si>
    <t>Teachers</t>
  </si>
  <si>
    <t>Last Name</t>
  </si>
  <si>
    <t>First Name</t>
  </si>
  <si>
    <t>Degree</t>
  </si>
  <si>
    <t>Positions</t>
  </si>
  <si>
    <t>Salary</t>
  </si>
  <si>
    <t>Rodriguez</t>
  </si>
  <si>
    <t>Bachelor</t>
  </si>
  <si>
    <t>Luis</t>
  </si>
  <si>
    <t>Masters</t>
  </si>
  <si>
    <t>Allysa</t>
  </si>
  <si>
    <t>Garcia</t>
  </si>
  <si>
    <t>Iliana</t>
  </si>
  <si>
    <t>Specials</t>
  </si>
  <si>
    <t>Maldonado Pintor</t>
  </si>
  <si>
    <t>Jackeline</t>
  </si>
  <si>
    <t>Visual Arts Teacher</t>
  </si>
  <si>
    <t>Rupe</t>
  </si>
  <si>
    <t>Jachin</t>
  </si>
  <si>
    <t>P.E. Teacher</t>
  </si>
  <si>
    <t>Admin Team</t>
  </si>
  <si>
    <t>Catherine</t>
  </si>
  <si>
    <t>Doctorate</t>
  </si>
  <si>
    <t>Head of School</t>
  </si>
  <si>
    <t>Rivera</t>
  </si>
  <si>
    <t>Erica</t>
  </si>
  <si>
    <t>Associates</t>
  </si>
  <si>
    <t>Emily</t>
  </si>
  <si>
    <t>Catiana</t>
  </si>
  <si>
    <t>Support Staff</t>
  </si>
  <si>
    <t>Marlow</t>
  </si>
  <si>
    <t>Specialist</t>
  </si>
  <si>
    <t>Kane</t>
  </si>
  <si>
    <t>Amanda</t>
  </si>
  <si>
    <t>Baretty-Torres</t>
  </si>
  <si>
    <t>Anabely</t>
  </si>
  <si>
    <t>JD, Masters</t>
  </si>
  <si>
    <t>ESE/ESOL Liasion</t>
  </si>
  <si>
    <t>Pay Increase</t>
  </si>
  <si>
    <t>Music Teacher</t>
  </si>
  <si>
    <t>Other Staff</t>
  </si>
  <si>
    <t>7300692 · Technology Expense</t>
  </si>
  <si>
    <t>5200250 · Unemployment Compensation</t>
  </si>
  <si>
    <t>6100250 · Unemployment Compensation</t>
  </si>
  <si>
    <t>71003XX · Moving Expenses</t>
  </si>
  <si>
    <t>5100642 · FF&amp;E</t>
  </si>
  <si>
    <t>7800250 · Unemployment Comp\</t>
  </si>
  <si>
    <t>7800260 · Medicare</t>
  </si>
  <si>
    <t>7800220 · Social Security</t>
  </si>
  <si>
    <t>5200310 · Professional &amp; Technical ESE</t>
  </si>
  <si>
    <t>7800160 · Bus Driver Salary</t>
  </si>
  <si>
    <t>5100130 · Specialty Teachers</t>
  </si>
  <si>
    <t>7400730 Property Taxes</t>
  </si>
  <si>
    <t>Sitpend</t>
  </si>
  <si>
    <t>After Care</t>
  </si>
  <si>
    <t>Hourly Rate</t>
  </si>
  <si>
    <t>Gabe</t>
  </si>
  <si>
    <t>Theresa</t>
  </si>
  <si>
    <t>Marsha</t>
  </si>
  <si>
    <t>AfterCare</t>
  </si>
  <si>
    <t>TBA</t>
  </si>
  <si>
    <t>Ginebra</t>
  </si>
  <si>
    <t>Lee</t>
  </si>
  <si>
    <t>Ryan</t>
  </si>
  <si>
    <t>Miller</t>
  </si>
  <si>
    <t xml:space="preserve">Calderon </t>
  </si>
  <si>
    <t xml:space="preserve">Custodian / Cafeteria </t>
  </si>
  <si>
    <t>Administrative Assistant / Registrar Assistant / Parent Home Liaison</t>
  </si>
  <si>
    <t>Full-time</t>
  </si>
  <si>
    <t>Substitute Teacher(s) / Other</t>
  </si>
  <si>
    <t xml:space="preserve">Director Student Support Services /Title 1 </t>
  </si>
  <si>
    <t>Registrar / Business Manager</t>
  </si>
  <si>
    <t>5100150 · Substitutes</t>
  </si>
  <si>
    <t>2.5 hours per day for 170 days</t>
  </si>
  <si>
    <t>421-R Federal Grants - Other</t>
  </si>
  <si>
    <t>Teacher</t>
  </si>
  <si>
    <t>Jonathan</t>
  </si>
  <si>
    <t>Castro</t>
  </si>
  <si>
    <t>Bonett</t>
  </si>
  <si>
    <t>Andres</t>
  </si>
  <si>
    <t>Guerra</t>
  </si>
  <si>
    <t>Speech Therapist</t>
  </si>
  <si>
    <t>Garzon</t>
  </si>
  <si>
    <t>Karen</t>
  </si>
  <si>
    <t>9200000 · Debt Services</t>
  </si>
  <si>
    <t>7800XXX · Bus Repair</t>
  </si>
  <si>
    <t>5100210 · Retirement</t>
  </si>
  <si>
    <t>Felix</t>
  </si>
  <si>
    <t>Manager</t>
  </si>
  <si>
    <t>% Breakdown</t>
  </si>
  <si>
    <t>6100390 · Purchased Services Students</t>
  </si>
  <si>
    <t>6400000 · Instructional Staff Training</t>
  </si>
  <si>
    <t>6400310 · Prof &amp; Tech Training</t>
  </si>
  <si>
    <t>7300360 · Machinery &amp; Equipment Rental</t>
  </si>
  <si>
    <t>7720310 · Prof &amp; Technical Services</t>
  </si>
  <si>
    <t>Fraser</t>
  </si>
  <si>
    <t>Josh</t>
  </si>
  <si>
    <t>Torres</t>
  </si>
  <si>
    <t>Gladys</t>
  </si>
  <si>
    <t>9200XXX · Construction in Progress</t>
  </si>
  <si>
    <t>5100XXX · Computers</t>
  </si>
  <si>
    <t>SRO</t>
  </si>
  <si>
    <t>Jimenez</t>
  </si>
  <si>
    <t>Yahaira</t>
  </si>
  <si>
    <t>Night Crew</t>
  </si>
  <si>
    <t>Saftety and Security Grant</t>
  </si>
  <si>
    <t>Title II</t>
  </si>
  <si>
    <t>TittleIV</t>
  </si>
  <si>
    <t>Ashley</t>
  </si>
  <si>
    <t>Vail</t>
  </si>
  <si>
    <t>Yugo</t>
  </si>
  <si>
    <t>Projected Salary 25-26</t>
  </si>
  <si>
    <t>Jul 25</t>
  </si>
  <si>
    <t>Aug 25</t>
  </si>
  <si>
    <t>Sep 25</t>
  </si>
  <si>
    <t>Oct 25</t>
  </si>
  <si>
    <t>Nov 25</t>
  </si>
  <si>
    <t>Dec 25</t>
  </si>
  <si>
    <t>Jan 26</t>
  </si>
  <si>
    <t>Feb 26</t>
  </si>
  <si>
    <t>Mar 26</t>
  </si>
  <si>
    <t>Apr 26</t>
  </si>
  <si>
    <t>May 26</t>
  </si>
  <si>
    <t>Jun 26</t>
  </si>
  <si>
    <t>Referendum</t>
  </si>
  <si>
    <t>Based on the 2024-25 FEFP Conference Calculation</t>
  </si>
  <si>
    <t>1A.   2024-25 FEFP State and Local Funding</t>
  </si>
  <si>
    <t>Comparable Wage Factor:</t>
  </si>
  <si>
    <t>Small District Factor</t>
  </si>
  <si>
    <t>2024-25</t>
  </si>
  <si>
    <t>(WFTE x BSA x CWF x SDF)</t>
  </si>
  <si>
    <t>Additional FTE</t>
  </si>
  <si>
    <t>2024-25
Base Funding                              (WFTE x BSA x CWF x SDF)</t>
  </si>
  <si>
    <r>
      <t xml:space="preserve">1B. Classroom Teacher and Other Instructional Personnel Salary Increase 
</t>
    </r>
    <r>
      <rPr>
        <b/>
        <sz val="8"/>
        <color indexed="10"/>
        <rFont val="Times New Roman"/>
        <family val="1"/>
      </rPr>
      <t>Maintenance and Growth Portions of the Salary Increase funds are part of the total Conference Base Funding and are not treated as a separate allocation. Amounts are split out here for informative purposes and for the purposes of providing a total that may be used for calculating the adminstrative fee.</t>
    </r>
  </si>
  <si>
    <t>Maintenance Portion (5.59% of Conference Base Funding)</t>
  </si>
  <si>
    <t>(g) (k)</t>
  </si>
  <si>
    <t>Growth Portion (1.07% of Conference Base Funding)</t>
  </si>
  <si>
    <t xml:space="preserve">         Total Salary Increase Allocation</t>
  </si>
  <si>
    <t xml:space="preserve"> </t>
  </si>
  <si>
    <t>3A. Divide school's Unweighted FTE (UFTE) total computed in Section 1, cell C28 above by the district's total UFTE to obtain school's</t>
  </si>
  <si>
    <t>3B. Divide school's Weighted FTE (WFTE) total computed in Section 1, cell E39 above by the district's total WFTE to obtain school's</t>
  </si>
  <si>
    <t>3C. Divide school's Unweighted FTE (UFTE) total computed in Section 1, cell C28 above by the district's total non-scholarship UFTE to obtain school's</t>
  </si>
  <si>
    <t xml:space="preserve"> UFTE share.          Charter School UFTE: </t>
  </si>
  <si>
    <t>District's Total Non-Scholarship UFTE:</t>
  </si>
  <si>
    <t>3D. Divide school's Unweighted FTE (UFTE) total computed in Section 1, cell C28 above by the district's total non-virtual UFTE to obtain school's</t>
  </si>
  <si>
    <t>District's Total Non-Virtual UFTE:</t>
  </si>
  <si>
    <t>3E. Divide school's Unweighted FTE (UFTE) total computed in Section 1, cell C28 above by the district's total non-scholarship and non-virtual UFTE to obtain school's</t>
  </si>
  <si>
    <t>District's Total Non-Virtual and Non-Scholarship UFTE:</t>
  </si>
  <si>
    <t>4.   Educational Enrichment Share (Non-Virtual UFTE share)</t>
  </si>
  <si>
    <t>6.   Safe Schools Allocation (Non-Virtual and Non-Scholarship UFTE share)</t>
  </si>
  <si>
    <t>7.  Mental Health Assistance Allocation (Non-Scholarship UFTE share)</t>
  </si>
  <si>
    <t>8.  Discretionary Local Effort (WFTE share)</t>
  </si>
  <si>
    <t>9.  Proration to Funds Available (WFTE share)</t>
  </si>
  <si>
    <t>10.  Educational Enrollment Stabilization Program (UFTE share)</t>
  </si>
  <si>
    <t>11.  Class Size Reduction Funds:</t>
  </si>
  <si>
    <r>
      <t xml:space="preserve">X         </t>
    </r>
    <r>
      <rPr>
        <b/>
        <u/>
        <sz val="12"/>
        <rFont val="Times New Roman"/>
        <family val="1"/>
      </rPr>
      <t xml:space="preserve"> CWF</t>
    </r>
    <r>
      <rPr>
        <b/>
        <sz val="12"/>
        <rFont val="Times New Roman"/>
        <family val="1"/>
      </rPr>
      <t xml:space="preserve">         X</t>
    </r>
  </si>
  <si>
    <t>12.  Student Transportation</t>
  </si>
  <si>
    <t>Transported by District</t>
  </si>
  <si>
    <t>13.  Federally Connected Student Supplement</t>
  </si>
  <si>
    <t>14.  Food Service Allocation</t>
  </si>
  <si>
    <t>15.  Total Less Salary Increase Allocation (for administrative fee calculation)</t>
  </si>
  <si>
    <t>16.  Funding for the purpose of calculating the administrative fee for ESE charter schools.</t>
  </si>
  <si>
    <t>(l)</t>
  </si>
  <si>
    <t xml:space="preserve">(a) Additional FTE includes FTE earned through Advanced Placement, International Baccalaureate, Advanced International Certificate of Education, Industry Certified Career Education (CAPE), Early High School Graduation, the small district ESE Supplement and Dual Enrollment pursuant to s. 1011.62(1)(i-p), F.S. </t>
  </si>
  <si>
    <t>(d) District allocations multiplied by percentage from item 3C.</t>
  </si>
  <si>
    <t>(e) District allocations multiplied by percentage from item 3D.</t>
  </si>
  <si>
    <t>(f) District allocations multiplied by percentage from item 3E.</t>
  </si>
  <si>
    <t xml:space="preserve">(g) This allocation will be frozen as of the 2024-25 FEFP Conference Calculation and will not be recalculated throughout the year. Charter school allocations are recommended not to be recalculated with fluctuations in student enrollment later in the year. </t>
  </si>
  <si>
    <t>(h)  Numbers entered here will be multiplied by the district level transportation funding per rider. "All Adjusted Fundable Riders" should include both basic and ESE Riders. "All Adjusted ESE Riders" should include only ESE Riders.</t>
  </si>
  <si>
    <t xml:space="preserve">(i) The Federally Connected Student Supplement provides additional funding for students on federal lands that receive Section 8003 impact aide pursuant to s. 1011.62(10), F.S. </t>
  </si>
  <si>
    <t xml:space="preserve">(k) Consistent with s. 1002.33(20)(a)3, F.S., a school's sponsor may not charge or withhold any administrative fee against a charter school for any funds specfically allocated by the Legislature for teacher compensation. </t>
  </si>
  <si>
    <t xml:space="preserve">(l) Consistent with s. 1002.33(20)(a), F.S., for charter schools with a population of 75% or more ESE students, the administrative fee shall be calculated based on unweighted full-time equivalent students. </t>
  </si>
  <si>
    <t>Student Count 652</t>
  </si>
  <si>
    <t>GRADE</t>
  </si>
  <si>
    <t>K</t>
  </si>
  <si>
    <t>1st</t>
  </si>
  <si>
    <t>2nd</t>
  </si>
  <si>
    <t>3rd</t>
  </si>
  <si>
    <t>4th</t>
  </si>
  <si>
    <t>5th</t>
  </si>
  <si>
    <t>6th</t>
  </si>
  <si>
    <t>Science Lab</t>
  </si>
  <si>
    <t>Library Media</t>
  </si>
  <si>
    <t>Director of Curriculum</t>
  </si>
  <si>
    <t>DL Interventionist</t>
  </si>
  <si>
    <t>DL Math Coach</t>
  </si>
  <si>
    <t>DL Language Coach</t>
  </si>
  <si>
    <t>School Counselor</t>
  </si>
  <si>
    <t>ESE Teacher</t>
  </si>
  <si>
    <t>Paraprofessional</t>
  </si>
  <si>
    <t>Paraprofessional Aide</t>
  </si>
  <si>
    <t>Receptionist</t>
  </si>
  <si>
    <t>Middle School Registrar</t>
  </si>
  <si>
    <t>ESOL Facilitator</t>
  </si>
  <si>
    <t>Admin Assistant</t>
  </si>
  <si>
    <t>6100160 · Guidance/Nurse</t>
  </si>
  <si>
    <t>9200720 · Principal &amp; Interest</t>
  </si>
  <si>
    <t>3392 · PECO &amp; Capital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</si>
</sst>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4" formatCode="_(&quot;$&quot;* #,##0.00_);_(&quot;$&quot;* \(#,##0.00\);_(&quot;$&quot;* &quot;-&quot;??_);_(@_)"/>
    <numFmt numFmtId="43" formatCode="_(* #,##0.00_);_(* \(#,##0.00\);_(* &quot;-&quot;??_);_(@_)"/>
    <numFmt numFmtId="164" formatCode="#,##0.00;\-#,##0.00"/>
    <numFmt numFmtId="165" formatCode="0.0000"/>
    <numFmt numFmtId="166" formatCode="0.000"/>
    <numFmt numFmtId="167" formatCode="_-&quot;$&quot;* #,##0.00_-;\-&quot;$&quot;* #,##0.00_-;_-&quot;$&quot;* &quot;-&quot;??_-;_-@_-"/>
    <numFmt numFmtId="168" formatCode="#,##0.0000"/>
    <numFmt numFmtId="169" formatCode="_-&quot;$&quot;* #,##0_-;\-&quot;$&quot;* #,##0_-;_-&quot;$&quot;* &quot;-&quot;??_-;_-@_-"/>
    <numFmt numFmtId="170" formatCode="0.0000%"/>
    <numFmt numFmtId="171" formatCode="_-* #,##0.00_-;\-* #,##0.00_-;_-* &quot;-&quot;??_-;_-@_-"/>
    <numFmt numFmtId="172" formatCode="0."/>
    <numFmt numFmtId="173" formatCode="&quot;$&quot;#,##0"/>
    <numFmt numFmtId="174" formatCode="&quot;$&quot;#,##0.00"/>
    <numFmt numFmtId="175" formatCode="0.0%"/>
    <numFmt numFmtId="176" formatCode="_(&quot;$&quot;* #,##0_);_(&quot;$&quot;* \(#,##0\);_(&quot;$&quot;* &quot;-&quot;??_);_(@_)"/>
  </numFmts>
  <fonts count="34" x14ac:knownFonts="1">
    <font>
      <sz val="11"/>
      <color theme="1"/>
      <name val="Calibri"/>
      <family val="2"/>
      <scheme val="minor"/>
    </font>
    <font>
      <b/>
      <sz val="8"/>
      <color rgb="FF323232"/>
      <name val="Arial"/>
      <family val="2"/>
    </font>
    <font>
      <sz val="8"/>
      <color rgb="FF323232"/>
      <name val="Arial"/>
      <family val="2"/>
    </font>
    <font>
      <sz val="10"/>
      <name val="Arial"/>
      <family val="2"/>
    </font>
    <font>
      <b/>
      <sz val="12"/>
      <color indexed="10"/>
      <name val="Times New Roman"/>
      <family val="1"/>
    </font>
    <font>
      <b/>
      <sz val="12"/>
      <color indexed="12"/>
      <name val="Times New Roman"/>
      <family val="1"/>
    </font>
    <font>
      <b/>
      <sz val="12"/>
      <name val="Times New Roman"/>
      <family val="1"/>
    </font>
    <font>
      <b/>
      <sz val="16"/>
      <name val="Times New Roman"/>
      <family val="1"/>
    </font>
    <font>
      <b/>
      <sz val="14"/>
      <name val="Times New Roman"/>
      <family val="1"/>
    </font>
    <font>
      <sz val="12"/>
      <name val="Times New Roman"/>
      <family val="1"/>
    </font>
    <font>
      <sz val="10"/>
      <name val="Arial"/>
      <family val="2"/>
    </font>
    <font>
      <b/>
      <sz val="12"/>
      <color rgb="FFFF0000"/>
      <name val="Times New Roman"/>
      <family val="1"/>
    </font>
    <font>
      <b/>
      <i/>
      <sz val="12"/>
      <name val="Times New Roman"/>
      <family val="1"/>
    </font>
    <font>
      <b/>
      <sz val="12"/>
      <color rgb="FF00B050"/>
      <name val="Times New Roman"/>
      <family val="1"/>
    </font>
    <font>
      <i/>
      <sz val="9"/>
      <color indexed="10"/>
      <name val="Times New Roman"/>
      <family val="1"/>
    </font>
    <font>
      <b/>
      <sz val="12"/>
      <color indexed="8"/>
      <name val="Times New Roman"/>
      <family val="1"/>
    </font>
    <font>
      <b/>
      <sz val="12"/>
      <name val="Calibri"/>
      <family val="2"/>
    </font>
    <font>
      <b/>
      <u/>
      <sz val="12"/>
      <name val="Times New Roman"/>
      <family val="1"/>
    </font>
    <font>
      <b/>
      <sz val="12"/>
      <color indexed="30"/>
      <name val="Times New Roman"/>
      <family val="1"/>
    </font>
    <font>
      <i/>
      <sz val="12"/>
      <name val="Times New Roman"/>
      <family val="1"/>
    </font>
    <font>
      <b/>
      <sz val="10"/>
      <name val="Times New Roman"/>
      <family val="1"/>
    </font>
    <font>
      <b/>
      <u/>
      <sz val="10"/>
      <name val="Times New Roman"/>
      <family val="1"/>
    </font>
    <font>
      <b/>
      <i/>
      <sz val="10"/>
      <name val="Times New Roman"/>
      <family val="1"/>
    </font>
    <font>
      <sz val="10"/>
      <color rgb="FF000000"/>
      <name val="Calibri"/>
      <family val="2"/>
      <scheme val="minor"/>
    </font>
    <font>
      <sz val="10"/>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8"/>
      <color theme="1"/>
      <name val="Arial"/>
      <family val="2"/>
    </font>
    <font>
      <b/>
      <sz val="10"/>
      <color theme="1"/>
      <name val="Calibri"/>
      <family val="2"/>
      <scheme val="minor"/>
    </font>
    <font>
      <sz val="11"/>
      <name val="Calibri"/>
      <family val="2"/>
    </font>
    <font>
      <b/>
      <sz val="8"/>
      <color indexed="10"/>
      <name val="Times New Roman"/>
      <family val="1"/>
    </font>
    <font>
      <b/>
      <vertAlign val="superscript"/>
      <sz val="12"/>
      <name val="Times New Roman"/>
      <family val="1"/>
    </font>
    <font>
      <sz val="12"/>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theme="0"/>
        <bgColor theme="0"/>
      </patternFill>
    </fill>
    <fill>
      <patternFill patternType="solid">
        <fgColor rgb="FFFF0000"/>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bottom style="thick">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7">
    <xf numFmtId="0" fontId="0" fillId="0" borderId="0"/>
    <xf numFmtId="0" fontId="3" fillId="0" borderId="0"/>
    <xf numFmtId="167" fontId="10" fillId="0" borderId="0" applyFont="0" applyFill="0" applyBorder="0" applyAlignment="0" applyProtection="0"/>
    <xf numFmtId="171" fontId="10" fillId="0" borderId="0" applyFont="0" applyFill="0" applyBorder="0" applyAlignment="0" applyProtection="0"/>
    <xf numFmtId="0" fontId="23" fillId="0" borderId="0"/>
    <xf numFmtId="43" fontId="25" fillId="0" borderId="0" applyFont="0" applyFill="0" applyBorder="0" applyAlignment="0" applyProtection="0"/>
    <xf numFmtId="44" fontId="25" fillId="0" borderId="0" applyFont="0" applyFill="0" applyBorder="0" applyAlignment="0" applyProtection="0"/>
  </cellStyleXfs>
  <cellXfs count="216">
    <xf numFmtId="0" fontId="0" fillId="0" borderId="0" xfId="0"/>
    <xf numFmtId="49" fontId="1" fillId="0" borderId="0" xfId="0" applyNumberFormat="1" applyFont="1"/>
    <xf numFmtId="164" fontId="2" fillId="0" borderId="0" xfId="0" applyNumberFormat="1" applyFont="1"/>
    <xf numFmtId="164" fontId="2" fillId="0" borderId="3" xfId="0" applyNumberFormat="1" applyFont="1" applyBorder="1"/>
    <xf numFmtId="164" fontId="2" fillId="0" borderId="5" xfId="0" applyNumberFormat="1" applyFont="1" applyBorder="1"/>
    <xf numFmtId="164" fontId="2" fillId="0" borderId="6" xfId="0" applyNumberFormat="1" applyFont="1" applyBorder="1"/>
    <xf numFmtId="164" fontId="1" fillId="0" borderId="7" xfId="0" applyNumberFormat="1" applyFont="1" applyBorder="1"/>
    <xf numFmtId="0" fontId="1" fillId="0" borderId="0" xfId="0" applyFont="1"/>
    <xf numFmtId="49" fontId="1" fillId="0" borderId="0" xfId="0" applyNumberFormat="1" applyFont="1" applyAlignment="1">
      <alignment horizontal="center"/>
    </xf>
    <xf numFmtId="49" fontId="1" fillId="0" borderId="2" xfId="0" applyNumberFormat="1" applyFont="1" applyBorder="1" applyAlignment="1">
      <alignment horizontal="center"/>
    </xf>
    <xf numFmtId="0" fontId="0" fillId="0" borderId="0" xfId="0" applyAlignment="1">
      <alignment horizontal="center"/>
    </xf>
    <xf numFmtId="0" fontId="4" fillId="0" borderId="8" xfId="0" applyFont="1" applyBorder="1"/>
    <xf numFmtId="0" fontId="6" fillId="0" borderId="0" xfId="0" applyFont="1"/>
    <xf numFmtId="0" fontId="7" fillId="0" borderId="0" xfId="0" applyFont="1"/>
    <xf numFmtId="0" fontId="8" fillId="0" borderId="0" xfId="0" applyFont="1"/>
    <xf numFmtId="4" fontId="5" fillId="0" borderId="0" xfId="0" applyNumberFormat="1" applyFont="1"/>
    <xf numFmtId="4" fontId="6" fillId="0" borderId="0" xfId="0" applyNumberFormat="1" applyFont="1"/>
    <xf numFmtId="0" fontId="9" fillId="0" borderId="0" xfId="0" applyFont="1" applyAlignment="1">
      <alignment horizontal="center"/>
    </xf>
    <xf numFmtId="7" fontId="0" fillId="0" borderId="0" xfId="0" applyNumberFormat="1" applyAlignment="1">
      <alignment horizontal="center"/>
    </xf>
    <xf numFmtId="166" fontId="6" fillId="0" borderId="0" xfId="0" applyNumberFormat="1" applyFont="1" applyAlignment="1">
      <alignment wrapText="1"/>
    </xf>
    <xf numFmtId="4" fontId="6" fillId="0" borderId="0" xfId="0" applyNumberFormat="1" applyFont="1" applyAlignment="1">
      <alignment horizontal="center" wrapText="1"/>
    </xf>
    <xf numFmtId="167" fontId="6" fillId="0" borderId="0" xfId="2" applyFont="1" applyBorder="1" applyAlignment="1">
      <alignment horizontal="center" wrapText="1"/>
    </xf>
    <xf numFmtId="4" fontId="6" fillId="0" borderId="1" xfId="0" applyNumberFormat="1" applyFont="1" applyBorder="1" applyAlignment="1">
      <alignment horizontal="center" wrapText="1"/>
    </xf>
    <xf numFmtId="167" fontId="6" fillId="0" borderId="1" xfId="2" applyFont="1" applyBorder="1" applyAlignment="1">
      <alignment horizontal="center" wrapText="1"/>
    </xf>
    <xf numFmtId="4" fontId="6" fillId="0" borderId="1" xfId="0" quotePrefix="1" applyNumberFormat="1" applyFont="1" applyBorder="1" applyAlignment="1">
      <alignment horizontal="center"/>
    </xf>
    <xf numFmtId="167" fontId="6" fillId="0" borderId="1" xfId="2" quotePrefix="1" applyFont="1" applyBorder="1" applyAlignment="1">
      <alignment horizontal="center"/>
    </xf>
    <xf numFmtId="168" fontId="6" fillId="0" borderId="1" xfId="0" applyNumberFormat="1" applyFont="1" applyBorder="1"/>
    <xf numFmtId="169" fontId="6" fillId="0" borderId="1" xfId="2" applyNumberFormat="1" applyFont="1" applyBorder="1"/>
    <xf numFmtId="165" fontId="6" fillId="0" borderId="11" xfId="0" applyNumberFormat="1" applyFont="1" applyBorder="1"/>
    <xf numFmtId="169" fontId="6" fillId="0" borderId="0" xfId="2" applyNumberFormat="1" applyFont="1" applyBorder="1" applyAlignment="1">
      <alignment horizontal="center"/>
    </xf>
    <xf numFmtId="165" fontId="6" fillId="0" borderId="0" xfId="0" applyNumberFormat="1" applyFont="1" applyAlignment="1">
      <alignment horizontal="right"/>
    </xf>
    <xf numFmtId="169" fontId="6" fillId="0" borderId="0" xfId="2" applyNumberFormat="1" applyFont="1" applyBorder="1"/>
    <xf numFmtId="165" fontId="13" fillId="0" borderId="0" xfId="0" applyNumberFormat="1" applyFont="1" applyAlignment="1">
      <alignment horizontal="right"/>
    </xf>
    <xf numFmtId="169" fontId="6" fillId="0" borderId="8" xfId="2" applyNumberFormat="1" applyFont="1" applyBorder="1"/>
    <xf numFmtId="0" fontId="6" fillId="0" borderId="1" xfId="0" applyFont="1" applyBorder="1"/>
    <xf numFmtId="0" fontId="6" fillId="0" borderId="1" xfId="0" applyFont="1" applyBorder="1" applyAlignment="1">
      <alignment horizontal="center" wrapText="1"/>
    </xf>
    <xf numFmtId="0" fontId="15" fillId="0" borderId="1" xfId="0" applyFont="1" applyBorder="1" applyAlignment="1">
      <alignment horizontal="center" wrapText="1"/>
    </xf>
    <xf numFmtId="0" fontId="6" fillId="0" borderId="0" xfId="0" applyFont="1" applyAlignment="1">
      <alignment horizontal="center"/>
    </xf>
    <xf numFmtId="169" fontId="15" fillId="0" borderId="1" xfId="2" applyNumberFormat="1" applyFont="1" applyBorder="1"/>
    <xf numFmtId="169" fontId="6" fillId="0" borderId="1" xfId="0" applyNumberFormat="1" applyFont="1" applyBorder="1"/>
    <xf numFmtId="0" fontId="6" fillId="0" borderId="0" xfId="0" quotePrefix="1" applyFont="1" applyAlignment="1">
      <alignment horizontal="center"/>
    </xf>
    <xf numFmtId="169" fontId="6" fillId="0" borderId="10" xfId="2" applyNumberFormat="1" applyFont="1" applyBorder="1"/>
    <xf numFmtId="4" fontId="13" fillId="0" borderId="1" xfId="0" applyNumberFormat="1" applyFont="1" applyBorder="1" applyAlignment="1">
      <alignment horizontal="center"/>
    </xf>
    <xf numFmtId="0" fontId="16" fillId="0" borderId="0" xfId="0" applyFont="1" applyAlignment="1">
      <alignment horizontal="center"/>
    </xf>
    <xf numFmtId="166" fontId="6" fillId="0" borderId="0" xfId="0" applyNumberFormat="1" applyFont="1"/>
    <xf numFmtId="166" fontId="6" fillId="0" borderId="0" xfId="0" applyNumberFormat="1" applyFont="1" applyAlignment="1">
      <alignment horizontal="right"/>
    </xf>
    <xf numFmtId="0" fontId="6" fillId="0" borderId="0" xfId="0" applyFont="1" applyAlignment="1">
      <alignment horizontal="left" indent="2"/>
    </xf>
    <xf numFmtId="0" fontId="6" fillId="0" borderId="0" xfId="0" applyFont="1" applyAlignment="1">
      <alignment horizontal="left" indent="3"/>
    </xf>
    <xf numFmtId="0" fontId="9" fillId="0" borderId="0" xfId="0" quotePrefix="1" applyFont="1" applyAlignment="1">
      <alignment horizontal="center"/>
    </xf>
    <xf numFmtId="0" fontId="6" fillId="0" borderId="1" xfId="0" applyFont="1" applyBorder="1" applyAlignment="1">
      <alignment horizontal="left" indent="2"/>
    </xf>
    <xf numFmtId="0" fontId="9" fillId="0" borderId="1" xfId="0" quotePrefix="1" applyFont="1" applyBorder="1" applyAlignment="1">
      <alignment horizontal="center"/>
    </xf>
    <xf numFmtId="4" fontId="6" fillId="0" borderId="0" xfId="0" quotePrefix="1" applyNumberFormat="1" applyFont="1" applyAlignment="1">
      <alignment horizontal="center"/>
    </xf>
    <xf numFmtId="38" fontId="6" fillId="0" borderId="1" xfId="0" applyNumberFormat="1" applyFont="1" applyBorder="1"/>
    <xf numFmtId="170" fontId="6" fillId="0" borderId="0" xfId="0" applyNumberFormat="1" applyFont="1"/>
    <xf numFmtId="3" fontId="6" fillId="0" borderId="1" xfId="0" applyNumberFormat="1" applyFont="1" applyBorder="1"/>
    <xf numFmtId="0" fontId="6" fillId="0" borderId="0" xfId="0" applyFont="1" applyAlignment="1">
      <alignment horizontal="right"/>
    </xf>
    <xf numFmtId="165" fontId="6" fillId="0" borderId="0" xfId="0" applyNumberFormat="1" applyFont="1" applyAlignment="1">
      <alignment horizontal="center"/>
    </xf>
    <xf numFmtId="4" fontId="6" fillId="0" borderId="0" xfId="0" applyNumberFormat="1" applyFont="1" applyAlignment="1">
      <alignment horizontal="center"/>
    </xf>
    <xf numFmtId="165" fontId="6" fillId="0" borderId="0" xfId="0" applyNumberFormat="1" applyFont="1"/>
    <xf numFmtId="16" fontId="6" fillId="0" borderId="0" xfId="0" quotePrefix="1" applyNumberFormat="1" applyFont="1" applyAlignment="1">
      <alignment horizontal="right"/>
    </xf>
    <xf numFmtId="0" fontId="6" fillId="0" borderId="0" xfId="0" quotePrefix="1" applyFont="1" applyAlignment="1">
      <alignment horizontal="right"/>
    </xf>
    <xf numFmtId="165" fontId="6" fillId="0" borderId="3" xfId="0" applyNumberFormat="1" applyFont="1" applyBorder="1" applyAlignment="1">
      <alignment horizontal="center"/>
    </xf>
    <xf numFmtId="171" fontId="6" fillId="0" borderId="0" xfId="3" applyFont="1" applyBorder="1" applyAlignment="1">
      <alignment horizontal="right"/>
    </xf>
    <xf numFmtId="165" fontId="6" fillId="0" borderId="8" xfId="0" applyNumberFormat="1" applyFont="1" applyBorder="1" applyAlignment="1">
      <alignment horizontal="center"/>
    </xf>
    <xf numFmtId="4" fontId="6" fillId="0" borderId="0" xfId="0" applyNumberFormat="1" applyFont="1" applyAlignment="1">
      <alignment horizontal="left" indent="2"/>
    </xf>
    <xf numFmtId="38" fontId="6" fillId="0" borderId="0" xfId="0" quotePrefix="1" applyNumberFormat="1" applyFont="1"/>
    <xf numFmtId="0" fontId="6" fillId="0" borderId="1" xfId="0" applyFont="1" applyBorder="1" applyAlignment="1">
      <alignment horizontal="center"/>
    </xf>
    <xf numFmtId="7" fontId="6" fillId="0" borderId="0" xfId="0" applyNumberFormat="1" applyFont="1"/>
    <xf numFmtId="7" fontId="6" fillId="0" borderId="1" xfId="0" applyNumberFormat="1" applyFont="1" applyBorder="1"/>
    <xf numFmtId="0" fontId="11" fillId="0" borderId="0" xfId="0" applyFont="1"/>
    <xf numFmtId="3" fontId="6" fillId="0" borderId="0" xfId="0" quotePrefix="1" applyNumberFormat="1" applyFont="1" applyAlignment="1">
      <alignment horizontal="center"/>
    </xf>
    <xf numFmtId="169" fontId="6" fillId="0" borderId="13" xfId="0" applyNumberFormat="1" applyFont="1" applyBorder="1"/>
    <xf numFmtId="0" fontId="6" fillId="0" borderId="0" xfId="0" applyFont="1" applyAlignment="1">
      <alignment horizontal="left"/>
    </xf>
    <xf numFmtId="169" fontId="6" fillId="0" borderId="0" xfId="0" applyNumberFormat="1" applyFont="1"/>
    <xf numFmtId="0" fontId="11" fillId="2" borderId="1" xfId="0" applyFont="1" applyFill="1" applyBorder="1"/>
    <xf numFmtId="0" fontId="20" fillId="0" borderId="0" xfId="0" applyFont="1"/>
    <xf numFmtId="172" fontId="6" fillId="0" borderId="0" xfId="0" applyNumberFormat="1" applyFont="1" applyAlignment="1">
      <alignment horizontal="left"/>
    </xf>
    <xf numFmtId="0" fontId="24" fillId="0" borderId="0" xfId="4" applyFont="1" applyAlignment="1">
      <alignment wrapText="1"/>
    </xf>
    <xf numFmtId="0" fontId="24" fillId="5" borderId="0" xfId="4" applyFont="1" applyFill="1" applyAlignment="1">
      <alignment wrapText="1"/>
    </xf>
    <xf numFmtId="174" fontId="24" fillId="0" borderId="0" xfId="4" applyNumberFormat="1" applyFont="1" applyAlignment="1">
      <alignment wrapText="1"/>
    </xf>
    <xf numFmtId="0" fontId="24" fillId="0" borderId="0" xfId="4" applyFont="1" applyAlignment="1">
      <alignment horizontal="center" wrapText="1"/>
    </xf>
    <xf numFmtId="173" fontId="24" fillId="0" borderId="0" xfId="4" applyNumberFormat="1" applyFont="1" applyAlignment="1">
      <alignment horizontal="center" wrapText="1"/>
    </xf>
    <xf numFmtId="0" fontId="24" fillId="6" borderId="0" xfId="4" applyFont="1" applyFill="1" applyAlignment="1">
      <alignment wrapText="1"/>
    </xf>
    <xf numFmtId="174" fontId="24" fillId="6" borderId="0" xfId="4" applyNumberFormat="1" applyFont="1" applyFill="1" applyAlignment="1">
      <alignment wrapText="1"/>
    </xf>
    <xf numFmtId="0" fontId="25" fillId="0" borderId="0" xfId="0" applyFont="1"/>
    <xf numFmtId="0" fontId="24" fillId="5" borderId="0" xfId="4" applyFont="1" applyFill="1" applyAlignment="1">
      <alignment horizontal="center" wrapText="1"/>
    </xf>
    <xf numFmtId="173" fontId="24" fillId="5" borderId="0" xfId="4" applyNumberFormat="1" applyFont="1" applyFill="1" applyAlignment="1">
      <alignment horizontal="center" wrapText="1"/>
    </xf>
    <xf numFmtId="0" fontId="24" fillId="0" borderId="14" xfId="4" applyFont="1" applyBorder="1" applyAlignment="1">
      <alignment wrapText="1"/>
    </xf>
    <xf numFmtId="0" fontId="25" fillId="0" borderId="14" xfId="0" applyFont="1" applyBorder="1"/>
    <xf numFmtId="10" fontId="25" fillId="0" borderId="0" xfId="0" applyNumberFormat="1" applyFont="1"/>
    <xf numFmtId="173" fontId="23" fillId="4" borderId="0" xfId="4" applyNumberFormat="1" applyFill="1" applyAlignment="1">
      <alignment horizontal="center" wrapText="1"/>
    </xf>
    <xf numFmtId="0" fontId="26" fillId="6" borderId="0" xfId="4" applyFont="1" applyFill="1" applyAlignment="1">
      <alignment horizontal="center" wrapText="1"/>
    </xf>
    <xf numFmtId="174" fontId="27" fillId="6" borderId="0" xfId="4" applyNumberFormat="1" applyFont="1" applyFill="1" applyAlignment="1">
      <alignment horizontal="center" wrapText="1"/>
    </xf>
    <xf numFmtId="0" fontId="24" fillId="0" borderId="0" xfId="0" applyFont="1"/>
    <xf numFmtId="174" fontId="24" fillId="0" borderId="0" xfId="0" applyNumberFormat="1" applyFont="1"/>
    <xf numFmtId="0" fontId="24" fillId="8" borderId="0" xfId="0" applyFont="1" applyFill="1"/>
    <xf numFmtId="174" fontId="24" fillId="8" borderId="0" xfId="0" applyNumberFormat="1" applyFont="1" applyFill="1"/>
    <xf numFmtId="0" fontId="28" fillId="0" borderId="13" xfId="0" applyFont="1" applyBorder="1" applyAlignment="1">
      <alignment horizontal="center"/>
    </xf>
    <xf numFmtId="175" fontId="2" fillId="0" borderId="0" xfId="0" applyNumberFormat="1" applyFont="1"/>
    <xf numFmtId="175" fontId="0" fillId="0" borderId="0" xfId="0" applyNumberFormat="1"/>
    <xf numFmtId="175" fontId="28" fillId="0" borderId="0" xfId="0" applyNumberFormat="1" applyFont="1"/>
    <xf numFmtId="175" fontId="1" fillId="0" borderId="0" xfId="0" applyNumberFormat="1" applyFont="1"/>
    <xf numFmtId="175" fontId="28" fillId="0" borderId="6" xfId="0" applyNumberFormat="1" applyFont="1" applyBorder="1"/>
    <xf numFmtId="175" fontId="28" fillId="0" borderId="5" xfId="0" applyNumberFormat="1" applyFont="1" applyBorder="1"/>
    <xf numFmtId="174" fontId="29" fillId="0" borderId="0" xfId="4" applyNumberFormat="1" applyFont="1" applyAlignment="1">
      <alignment wrapText="1"/>
    </xf>
    <xf numFmtId="0" fontId="24" fillId="0" borderId="0" xfId="4" applyFont="1" applyAlignment="1">
      <alignment horizontal="center" vertical="center" wrapText="1"/>
    </xf>
    <xf numFmtId="0" fontId="24" fillId="0" borderId="0" xfId="0" applyFont="1" applyAlignment="1">
      <alignment horizontal="center" vertical="center"/>
    </xf>
    <xf numFmtId="39" fontId="28" fillId="0" borderId="0" xfId="0" applyNumberFormat="1" applyFont="1"/>
    <xf numFmtId="0" fontId="28" fillId="0" borderId="0" xfId="0" applyFont="1"/>
    <xf numFmtId="7" fontId="9" fillId="0" borderId="0" xfId="0" applyNumberFormat="1" applyFont="1" applyAlignment="1">
      <alignment horizontal="center"/>
    </xf>
    <xf numFmtId="0" fontId="9" fillId="0" borderId="0" xfId="0" applyFont="1" applyAlignment="1">
      <alignment horizontal="left"/>
    </xf>
    <xf numFmtId="165" fontId="9" fillId="0" borderId="0" xfId="0" applyNumberFormat="1" applyFont="1" applyAlignment="1">
      <alignment horizontal="left"/>
    </xf>
    <xf numFmtId="0" fontId="6" fillId="0" borderId="1" xfId="0" applyFont="1" applyBorder="1" applyAlignment="1">
      <alignment horizontal="left" wrapText="1"/>
    </xf>
    <xf numFmtId="2" fontId="6" fillId="0" borderId="0" xfId="0" applyNumberFormat="1" applyFont="1" applyAlignment="1">
      <alignment horizontal="center"/>
    </xf>
    <xf numFmtId="170" fontId="13" fillId="0" borderId="1" xfId="0" applyNumberFormat="1" applyFont="1" applyBorder="1" applyAlignment="1">
      <alignment horizontal="left" indent="2"/>
    </xf>
    <xf numFmtId="0" fontId="20" fillId="0" borderId="0" xfId="0" applyFont="1" applyAlignment="1">
      <alignment horizontal="left"/>
    </xf>
    <xf numFmtId="0" fontId="23" fillId="0" borderId="0" xfId="4"/>
    <xf numFmtId="0" fontId="30" fillId="0" borderId="0" xfId="0" applyFont="1" applyAlignment="1">
      <alignment horizontal="center" vertical="center"/>
    </xf>
    <xf numFmtId="169" fontId="6" fillId="0" borderId="11" xfId="2" applyNumberFormat="1" applyFont="1" applyBorder="1" applyAlignment="1">
      <alignment horizontal="right"/>
    </xf>
    <xf numFmtId="169" fontId="6" fillId="0" borderId="0" xfId="2" applyNumberFormat="1" applyFont="1" applyBorder="1" applyAlignment="1">
      <alignment horizontal="right"/>
    </xf>
    <xf numFmtId="176" fontId="6" fillId="0" borderId="0" xfId="6" applyNumberFormat="1" applyFont="1" applyBorder="1"/>
    <xf numFmtId="10" fontId="6" fillId="0" borderId="0" xfId="0" applyNumberFormat="1" applyFont="1"/>
    <xf numFmtId="169" fontId="6" fillId="9" borderId="1" xfId="2" applyNumberFormat="1" applyFont="1" applyFill="1" applyBorder="1"/>
    <xf numFmtId="0" fontId="32" fillId="0" borderId="0" xfId="0" applyFont="1" applyAlignment="1">
      <alignment horizontal="right"/>
    </xf>
    <xf numFmtId="3" fontId="6" fillId="0" borderId="0" xfId="0" applyNumberFormat="1" applyFont="1"/>
    <xf numFmtId="169" fontId="6" fillId="0" borderId="10" xfId="2" applyNumberFormat="1" applyFont="1" applyFill="1" applyBorder="1"/>
    <xf numFmtId="0" fontId="12" fillId="0" borderId="0" xfId="0" applyFont="1"/>
    <xf numFmtId="2" fontId="6" fillId="0" borderId="0" xfId="0" applyNumberFormat="1" applyFont="1"/>
    <xf numFmtId="3" fontId="6" fillId="0" borderId="1" xfId="0" applyNumberFormat="1" applyFont="1" applyBorder="1" applyAlignment="1">
      <alignment horizontal="right"/>
    </xf>
    <xf numFmtId="169" fontId="6" fillId="0" borderId="1" xfId="2" applyNumberFormat="1" applyFont="1" applyBorder="1" applyAlignment="1">
      <alignment horizontal="right"/>
    </xf>
    <xf numFmtId="38" fontId="6" fillId="0" borderId="0" xfId="0" applyNumberFormat="1" applyFont="1" applyAlignment="1">
      <alignment horizontal="right"/>
    </xf>
    <xf numFmtId="166" fontId="6" fillId="0" borderId="0" xfId="0" quotePrefix="1" applyNumberFormat="1" applyFont="1"/>
    <xf numFmtId="43" fontId="6" fillId="0" borderId="0" xfId="5" quotePrefix="1" applyFont="1" applyFill="1"/>
    <xf numFmtId="166" fontId="20" fillId="0" borderId="0" xfId="0" applyNumberFormat="1" applyFont="1"/>
    <xf numFmtId="4" fontId="20" fillId="0" borderId="0" xfId="0" quotePrefix="1" applyNumberFormat="1" applyFont="1" applyAlignment="1">
      <alignment horizontal="center"/>
    </xf>
    <xf numFmtId="0" fontId="3" fillId="0" borderId="0" xfId="0" applyFont="1"/>
    <xf numFmtId="169" fontId="6" fillId="0" borderId="8" xfId="0" applyNumberFormat="1" applyFont="1" applyBorder="1" applyAlignment="1">
      <alignment horizontal="right"/>
    </xf>
    <xf numFmtId="169" fontId="6" fillId="2" borderId="1" xfId="2" applyNumberFormat="1" applyFont="1" applyFill="1" applyBorder="1" applyAlignment="1">
      <alignment horizontal="right"/>
    </xf>
    <xf numFmtId="169" fontId="6" fillId="0" borderId="15" xfId="0" applyNumberFormat="1" applyFont="1" applyBorder="1" applyAlignment="1">
      <alignment horizontal="right"/>
    </xf>
    <xf numFmtId="0" fontId="33" fillId="0" borderId="0" xfId="0" applyFont="1"/>
    <xf numFmtId="0" fontId="9" fillId="0" borderId="0" xfId="0" applyFont="1" applyAlignment="1">
      <alignment horizontal="center"/>
    </xf>
    <xf numFmtId="7" fontId="9" fillId="0" borderId="0" xfId="0" applyNumberFormat="1" applyFont="1" applyAlignment="1">
      <alignment horizontal="center"/>
    </xf>
    <xf numFmtId="0" fontId="9" fillId="0" borderId="0" xfId="0" applyFont="1" applyAlignment="1">
      <alignment horizontal="left"/>
    </xf>
    <xf numFmtId="165" fontId="9" fillId="0" borderId="0" xfId="0" applyNumberFormat="1" applyFont="1" applyAlignment="1">
      <alignment horizontal="left"/>
    </xf>
    <xf numFmtId="166" fontId="6" fillId="0" borderId="0" xfId="0" applyNumberFormat="1" applyFont="1" applyAlignment="1">
      <alignment horizontal="center" wrapText="1"/>
    </xf>
    <xf numFmtId="0" fontId="6" fillId="0" borderId="1" xfId="0" applyFont="1" applyBorder="1" applyAlignment="1">
      <alignment horizontal="left" wrapText="1"/>
    </xf>
    <xf numFmtId="0" fontId="4" fillId="0" borderId="1" xfId="0" applyFont="1" applyBorder="1" applyAlignment="1">
      <alignment horizontal="center" wrapText="1"/>
    </xf>
    <xf numFmtId="166" fontId="6" fillId="0" borderId="1" xfId="0" applyNumberFormat="1" applyFont="1" applyBorder="1" applyAlignment="1">
      <alignment horizontal="center" wrapText="1"/>
    </xf>
    <xf numFmtId="0" fontId="5" fillId="0" borderId="9" xfId="0" applyFont="1" applyBorder="1" applyAlignment="1">
      <alignment horizontal="left"/>
    </xf>
    <xf numFmtId="0" fontId="5" fillId="0" borderId="0" xfId="0" applyFont="1" applyAlignment="1">
      <alignment horizontal="left"/>
    </xf>
    <xf numFmtId="0" fontId="7" fillId="0" borderId="0" xfId="0" applyFont="1" applyAlignment="1">
      <alignment horizontal="center"/>
    </xf>
    <xf numFmtId="0" fontId="6" fillId="0" borderId="0" xfId="0" applyFont="1" applyAlignment="1">
      <alignment horizontal="center"/>
    </xf>
    <xf numFmtId="4" fontId="6" fillId="0" borderId="0" xfId="0" applyNumberFormat="1" applyFont="1" applyAlignment="1">
      <alignment horizontal="left" indent="2"/>
    </xf>
    <xf numFmtId="4" fontId="5" fillId="0" borderId="0" xfId="0" applyNumberFormat="1" applyFont="1" applyAlignment="1">
      <alignment horizontal="left"/>
    </xf>
    <xf numFmtId="4" fontId="6" fillId="0" borderId="0" xfId="0" applyNumberFormat="1" applyFont="1" applyAlignment="1">
      <alignment horizontal="left"/>
    </xf>
    <xf numFmtId="0" fontId="6" fillId="0" borderId="0" xfId="0" applyFont="1" applyAlignment="1">
      <alignment horizontal="left" indent="3"/>
    </xf>
    <xf numFmtId="2" fontId="11" fillId="2" borderId="11" xfId="0" applyNumberFormat="1" applyFont="1" applyFill="1" applyBorder="1" applyAlignment="1">
      <alignment horizontal="center"/>
    </xf>
    <xf numFmtId="166" fontId="6" fillId="0" borderId="0" xfId="0" applyNumberFormat="1" applyFont="1" applyAlignment="1">
      <alignment horizontal="center"/>
    </xf>
    <xf numFmtId="0" fontId="6" fillId="0" borderId="1" xfId="0" quotePrefix="1" applyFont="1" applyBorder="1" applyAlignment="1">
      <alignment horizontal="center"/>
    </xf>
    <xf numFmtId="0" fontId="4" fillId="0" borderId="1" xfId="0" quotePrefix="1" applyFont="1" applyBorder="1" applyAlignment="1">
      <alignment horizontal="center"/>
    </xf>
    <xf numFmtId="166" fontId="6" fillId="0" borderId="1" xfId="0" quotePrefix="1" applyNumberFormat="1" applyFont="1" applyBorder="1" applyAlignment="1">
      <alignment horizontal="center"/>
    </xf>
    <xf numFmtId="0" fontId="6" fillId="0" borderId="10" xfId="0" applyFont="1" applyBorder="1" applyAlignment="1">
      <alignment horizontal="left" indent="3"/>
    </xf>
    <xf numFmtId="166" fontId="6" fillId="0" borderId="10" xfId="0" applyNumberFormat="1" applyFont="1" applyBorder="1" applyAlignment="1">
      <alignment horizontal="center"/>
    </xf>
    <xf numFmtId="0" fontId="6" fillId="0" borderId="0" xfId="0" applyFont="1" applyAlignment="1">
      <alignment horizontal="center" wrapText="1"/>
    </xf>
    <xf numFmtId="4" fontId="11" fillId="2" borderId="11" xfId="0" applyNumberFormat="1" applyFont="1" applyFill="1" applyBorder="1" applyAlignment="1">
      <alignment horizontal="center"/>
    </xf>
    <xf numFmtId="0" fontId="6" fillId="0" borderId="1" xfId="0" applyFont="1" applyBorder="1" applyAlignment="1">
      <alignment horizontal="left" indent="3"/>
    </xf>
    <xf numFmtId="166" fontId="6" fillId="0" borderId="1" xfId="0" applyNumberFormat="1" applyFont="1" applyBorder="1" applyAlignment="1">
      <alignment horizontal="center"/>
    </xf>
    <xf numFmtId="0" fontId="6" fillId="0" borderId="10" xfId="0" applyFont="1" applyBorder="1" applyAlignment="1">
      <alignment horizontal="right"/>
    </xf>
    <xf numFmtId="2" fontId="13" fillId="0" borderId="1" xfId="0" applyNumberFormat="1" applyFont="1" applyBorder="1" applyAlignment="1">
      <alignment horizontal="center"/>
    </xf>
    <xf numFmtId="2" fontId="6" fillId="0" borderId="0" xfId="0" applyNumberFormat="1" applyFont="1" applyAlignment="1">
      <alignment horizontal="center"/>
    </xf>
    <xf numFmtId="0" fontId="6" fillId="0" borderId="0" xfId="0" applyFont="1" applyAlignment="1">
      <alignment horizontal="left" wrapText="1" indent="3"/>
    </xf>
    <xf numFmtId="4" fontId="11" fillId="2" borderId="11" xfId="0" applyNumberFormat="1" applyFont="1" applyFill="1" applyBorder="1" applyAlignment="1">
      <alignment horizontal="center" wrapText="1"/>
    </xf>
    <xf numFmtId="2" fontId="11" fillId="0" borderId="1" xfId="0" applyNumberFormat="1" applyFont="1" applyBorder="1" applyAlignment="1">
      <alignment horizontal="center" wrapText="1"/>
    </xf>
    <xf numFmtId="2" fontId="11" fillId="0" borderId="1" xfId="0" applyNumberFormat="1"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6" fillId="0" borderId="1" xfId="0" applyFont="1" applyBorder="1" applyAlignment="1">
      <alignment horizontal="left"/>
    </xf>
    <xf numFmtId="2" fontId="4" fillId="0" borderId="1" xfId="0" applyNumberFormat="1" applyFont="1" applyBorder="1" applyAlignment="1">
      <alignment horizontal="center"/>
    </xf>
    <xf numFmtId="0" fontId="6" fillId="0" borderId="0" xfId="0" applyFont="1" applyAlignment="1">
      <alignment horizontal="right"/>
    </xf>
    <xf numFmtId="2" fontId="6" fillId="0" borderId="4" xfId="0" applyNumberFormat="1" applyFont="1" applyBorder="1" applyAlignment="1">
      <alignment horizontal="center"/>
    </xf>
    <xf numFmtId="0" fontId="6" fillId="0" borderId="0" xfId="0" applyFont="1" applyAlignment="1">
      <alignment horizontal="left" indent="2"/>
    </xf>
    <xf numFmtId="4" fontId="17" fillId="0" borderId="0" xfId="0" applyNumberFormat="1" applyFont="1" applyAlignment="1">
      <alignment horizontal="left" indent="1"/>
    </xf>
    <xf numFmtId="0" fontId="9" fillId="0" borderId="10" xfId="0" applyFont="1" applyBorder="1" applyAlignment="1">
      <alignment horizontal="left" vertical="center" wrapText="1" indent="3"/>
    </xf>
    <xf numFmtId="0" fontId="9" fillId="0" borderId="0" xfId="0" applyFont="1" applyAlignment="1">
      <alignment horizontal="left" vertical="center" wrapText="1" indent="3"/>
    </xf>
    <xf numFmtId="4" fontId="11" fillId="2" borderId="1" xfId="0" applyNumberFormat="1" applyFont="1" applyFill="1" applyBorder="1" applyAlignment="1">
      <alignment horizontal="center" vertical="center" wrapText="1"/>
    </xf>
    <xf numFmtId="4" fontId="11" fillId="2" borderId="11" xfId="0" applyNumberFormat="1"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166" fontId="6" fillId="0" borderId="0" xfId="0" applyNumberFormat="1" applyFont="1" applyAlignment="1">
      <alignment horizontal="right" wrapText="1"/>
    </xf>
    <xf numFmtId="170" fontId="13" fillId="0" borderId="0" xfId="0" applyNumberFormat="1" applyFont="1" applyAlignment="1">
      <alignment horizontal="left" indent="2"/>
    </xf>
    <xf numFmtId="0" fontId="6" fillId="0" borderId="10" xfId="0" applyFont="1" applyBorder="1" applyAlignment="1">
      <alignment horizontal="left"/>
    </xf>
    <xf numFmtId="0" fontId="6" fillId="0" borderId="0" xfId="0" applyFont="1" applyAlignment="1">
      <alignment horizontal="left" wrapText="1" indent="2"/>
    </xf>
    <xf numFmtId="165" fontId="6" fillId="0" borderId="0" xfId="0" applyNumberFormat="1" applyFont="1" applyAlignment="1">
      <alignment horizontal="center"/>
    </xf>
    <xf numFmtId="171" fontId="6" fillId="0" borderId="9" xfId="3" applyFont="1" applyBorder="1" applyAlignment="1">
      <alignment horizontal="right"/>
    </xf>
    <xf numFmtId="171" fontId="6" fillId="0" borderId="0" xfId="3" applyFont="1" applyBorder="1" applyAlignment="1">
      <alignment horizontal="right"/>
    </xf>
    <xf numFmtId="2" fontId="19" fillId="0" borderId="0" xfId="0" applyNumberFormat="1" applyFont="1" applyAlignment="1">
      <alignment horizontal="left" indent="6"/>
    </xf>
    <xf numFmtId="4" fontId="6" fillId="0" borderId="0" xfId="0" quotePrefix="1" applyNumberFormat="1" applyFont="1" applyAlignment="1">
      <alignment horizontal="center"/>
    </xf>
    <xf numFmtId="0" fontId="17" fillId="0" borderId="0" xfId="0" applyFont="1" applyAlignment="1">
      <alignment horizontal="right"/>
    </xf>
    <xf numFmtId="0" fontId="17" fillId="0" borderId="0" xfId="0" applyFont="1" applyAlignment="1">
      <alignment horizontal="center"/>
    </xf>
    <xf numFmtId="4" fontId="17" fillId="0" borderId="0" xfId="0" applyNumberFormat="1" applyFont="1" applyAlignment="1">
      <alignment horizontal="left"/>
    </xf>
    <xf numFmtId="0" fontId="6" fillId="0" borderId="1" xfId="0"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wrapText="1"/>
    </xf>
    <xf numFmtId="0" fontId="11" fillId="2" borderId="11" xfId="0" applyFont="1" applyFill="1" applyBorder="1" applyAlignment="1">
      <alignment horizontal="center"/>
    </xf>
    <xf numFmtId="7" fontId="6" fillId="0" borderId="10" xfId="0" applyNumberFormat="1" applyFont="1" applyBorder="1" applyAlignment="1">
      <alignment horizontal="right"/>
    </xf>
    <xf numFmtId="0" fontId="11" fillId="0" borderId="0" xfId="0" applyFont="1" applyAlignment="1">
      <alignment horizontal="right"/>
    </xf>
    <xf numFmtId="0" fontId="11" fillId="2" borderId="1" xfId="0" applyFont="1" applyFill="1" applyBorder="1" applyAlignment="1">
      <alignment horizontal="center"/>
    </xf>
    <xf numFmtId="3" fontId="6" fillId="0" borderId="0" xfId="0" quotePrefix="1" applyNumberFormat="1" applyFont="1" applyAlignment="1">
      <alignment horizontal="center"/>
    </xf>
    <xf numFmtId="7" fontId="6" fillId="0" borderId="0" xfId="0" applyNumberFormat="1" applyFont="1" applyAlignment="1">
      <alignment horizontal="right"/>
    </xf>
    <xf numFmtId="0" fontId="6" fillId="3" borderId="1" xfId="0" applyFont="1" applyFill="1" applyBorder="1" applyAlignment="1">
      <alignment horizontal="center"/>
    </xf>
    <xf numFmtId="0" fontId="20" fillId="0" borderId="0" xfId="0" applyFont="1" applyAlignment="1">
      <alignment horizontal="left"/>
    </xf>
    <xf numFmtId="0" fontId="20"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21" fillId="0" borderId="0" xfId="0" applyFont="1" applyAlignment="1">
      <alignment horizontal="left" wrapText="1"/>
    </xf>
    <xf numFmtId="0" fontId="26" fillId="7" borderId="0" xfId="4" applyFont="1" applyFill="1" applyAlignment="1">
      <alignment horizontal="center" wrapText="1"/>
    </xf>
    <xf numFmtId="0" fontId="23" fillId="0" borderId="0" xfId="4"/>
  </cellXfs>
  <cellStyles count="7">
    <cellStyle name="Comma" xfId="5" builtinId="3"/>
    <cellStyle name="Comma_charter school revenue frame" xfId="3" xr:uid="{E4BD6343-2108-4193-B9DB-FE56F6480C40}"/>
    <cellStyle name="Currency" xfId="6" builtinId="4"/>
    <cellStyle name="Currency_charter school revenue frame" xfId="2" xr:uid="{84D70FED-D0F8-42B5-A4DE-9DC75F27D91E}"/>
    <cellStyle name="Normal" xfId="0" builtinId="0"/>
    <cellStyle name="Normal 2" xfId="1" xr:uid="{C3496F2E-27BD-47BC-97D2-C3342E4D4256}"/>
    <cellStyle name="Normal 3" xfId="4" xr:uid="{E501F0C3-F095-4FA3-B6CC-F9804B2822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Clients\FEFP%202024-25%20revenue%20Sheet.xls" TargetMode="External"/><Relationship Id="rId1" Type="http://schemas.openxmlformats.org/officeDocument/2006/relationships/externalLinkPath" Target="file:///F:\Clients\FEFP%202024-25%20revenue%20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charter school calculator"/>
      <sheetName val="Detail 2024-25 FEFP Conference"/>
      <sheetName val="111-112-113 ADDITIONAL FUND"/>
      <sheetName val="Transportation Per Student"/>
      <sheetName val="75% or more ESE Calc"/>
    </sheetNames>
    <sheetDataSet>
      <sheetData sheetId="0">
        <row r="1">
          <cell r="A1">
            <v>58</v>
          </cell>
        </row>
      </sheetData>
      <sheetData sheetId="1">
        <row r="1">
          <cell r="A1" t="str">
            <v>Charter School Worksheet DATA</v>
          </cell>
        </row>
        <row r="2">
          <cell r="B2" t="str">
            <v>District</v>
          </cell>
          <cell r="C2" t="str">
            <v>Comparable Wage Factor</v>
          </cell>
          <cell r="D2" t="str">
            <v>Small District Factor</v>
          </cell>
          <cell r="E2" t="str">
            <v>Unweighted FTE</v>
          </cell>
          <cell r="G2" t="str">
            <v>Non Virtual UFTE</v>
          </cell>
          <cell r="I2" t="str">
            <v>Non Virtual and Scholarship UFTE</v>
          </cell>
          <cell r="K2" t="str">
            <v>Discretionary Tax Compression 0.748 mills</v>
          </cell>
          <cell r="P2" t="str">
            <v>Total Proration to Funds Available</v>
          </cell>
          <cell r="Q2" t="str">
            <v>Educational Enrollment Stabilization Program</v>
          </cell>
          <cell r="T2" t="str">
            <v>Exempt Property Allocation Per Military and Indian Land Student</v>
          </cell>
        </row>
        <row r="3">
          <cell r="A3">
            <v>1</v>
          </cell>
          <cell r="B3" t="str">
            <v>Alachua</v>
          </cell>
          <cell r="C3">
            <v>1</v>
          </cell>
          <cell r="D3">
            <v>1</v>
          </cell>
          <cell r="E3">
            <v>31899.43</v>
          </cell>
          <cell r="G3">
            <v>31718.83</v>
          </cell>
          <cell r="I3">
            <v>27940.58</v>
          </cell>
          <cell r="K3">
            <v>7055835</v>
          </cell>
          <cell r="P3">
            <v>0</v>
          </cell>
          <cell r="Q3">
            <v>0</v>
          </cell>
          <cell r="T3">
            <v>0</v>
          </cell>
          <cell r="Z3">
            <v>950.92</v>
          </cell>
          <cell r="AA3">
            <v>907.92</v>
          </cell>
          <cell r="AB3">
            <v>910.12</v>
          </cell>
          <cell r="AJ3">
            <v>160</v>
          </cell>
          <cell r="AK3">
            <v>560</v>
          </cell>
        </row>
        <row r="4">
          <cell r="A4">
            <v>2</v>
          </cell>
          <cell r="B4" t="str">
            <v>Baker</v>
          </cell>
          <cell r="C4">
            <v>1</v>
          </cell>
          <cell r="D4">
            <v>1.0277000000000001</v>
          </cell>
          <cell r="E4">
            <v>4920.95</v>
          </cell>
          <cell r="G4">
            <v>4918.29</v>
          </cell>
          <cell r="I4">
            <v>4730.29</v>
          </cell>
          <cell r="K4">
            <v>2758143</v>
          </cell>
          <cell r="P4">
            <v>0</v>
          </cell>
          <cell r="Q4">
            <v>0</v>
          </cell>
          <cell r="T4">
            <v>0</v>
          </cell>
        </row>
        <row r="5">
          <cell r="A5">
            <v>3</v>
          </cell>
          <cell r="B5" t="str">
            <v>Bay</v>
          </cell>
          <cell r="C5">
            <v>1</v>
          </cell>
          <cell r="D5">
            <v>1</v>
          </cell>
          <cell r="E5">
            <v>28881.410000000003</v>
          </cell>
          <cell r="G5">
            <v>28686.780000000002</v>
          </cell>
          <cell r="I5">
            <v>27483.780000000002</v>
          </cell>
          <cell r="K5">
            <v>0</v>
          </cell>
          <cell r="P5">
            <v>0</v>
          </cell>
          <cell r="Q5">
            <v>0</v>
          </cell>
          <cell r="T5">
            <v>483.42</v>
          </cell>
        </row>
        <row r="6">
          <cell r="A6">
            <v>4</v>
          </cell>
          <cell r="B6" t="str">
            <v>Bradford</v>
          </cell>
          <cell r="C6">
            <v>1</v>
          </cell>
          <cell r="D6">
            <v>1.0277000000000001</v>
          </cell>
          <cell r="E6">
            <v>3174.9099999999994</v>
          </cell>
          <cell r="G6">
            <v>3102.5699999999993</v>
          </cell>
          <cell r="I6">
            <v>2763.3199999999993</v>
          </cell>
          <cell r="K6">
            <v>1472206</v>
          </cell>
          <cell r="P6">
            <v>0</v>
          </cell>
          <cell r="Q6">
            <v>0</v>
          </cell>
          <cell r="T6">
            <v>0</v>
          </cell>
        </row>
        <row r="7">
          <cell r="A7">
            <v>5</v>
          </cell>
          <cell r="B7" t="str">
            <v>Brevard</v>
          </cell>
          <cell r="C7">
            <v>1</v>
          </cell>
          <cell r="D7">
            <v>1</v>
          </cell>
          <cell r="E7">
            <v>82227.16</v>
          </cell>
          <cell r="G7">
            <v>81433.400000000009</v>
          </cell>
          <cell r="I7">
            <v>72507.150000000009</v>
          </cell>
          <cell r="K7">
            <v>14838713</v>
          </cell>
          <cell r="P7">
            <v>0</v>
          </cell>
          <cell r="Q7">
            <v>0</v>
          </cell>
          <cell r="T7">
            <v>1035.3699999999999</v>
          </cell>
        </row>
        <row r="8">
          <cell r="A8">
            <v>6</v>
          </cell>
          <cell r="B8" t="str">
            <v>Broward</v>
          </cell>
          <cell r="C8">
            <v>1.0259</v>
          </cell>
          <cell r="D8">
            <v>1</v>
          </cell>
          <cell r="E8">
            <v>279121.86</v>
          </cell>
          <cell r="G8">
            <v>278512.87</v>
          </cell>
          <cell r="I8">
            <v>241953.12</v>
          </cell>
          <cell r="K8">
            <v>0</v>
          </cell>
          <cell r="P8">
            <v>0</v>
          </cell>
          <cell r="Q8">
            <v>0</v>
          </cell>
          <cell r="T8">
            <v>0</v>
          </cell>
        </row>
        <row r="9">
          <cell r="A9">
            <v>7</v>
          </cell>
          <cell r="B9" t="str">
            <v>Calhoun</v>
          </cell>
          <cell r="C9">
            <v>1</v>
          </cell>
          <cell r="D9">
            <v>1.0277000000000001</v>
          </cell>
          <cell r="E9">
            <v>2004.0999999999997</v>
          </cell>
          <cell r="G9">
            <v>1954.1399999999996</v>
          </cell>
          <cell r="I9">
            <v>1922.1399999999996</v>
          </cell>
          <cell r="K9">
            <v>1153640</v>
          </cell>
          <cell r="P9">
            <v>0</v>
          </cell>
          <cell r="Q9">
            <v>0</v>
          </cell>
          <cell r="T9">
            <v>0</v>
          </cell>
        </row>
        <row r="10">
          <cell r="A10">
            <v>8</v>
          </cell>
          <cell r="B10" t="str">
            <v>Charlotte</v>
          </cell>
          <cell r="C10">
            <v>1</v>
          </cell>
          <cell r="D10">
            <v>1</v>
          </cell>
          <cell r="E10">
            <v>17618.839999999997</v>
          </cell>
          <cell r="G10">
            <v>17443.729999999996</v>
          </cell>
          <cell r="I10">
            <v>16281.479999999996</v>
          </cell>
          <cell r="K10">
            <v>0</v>
          </cell>
          <cell r="P10">
            <v>0</v>
          </cell>
          <cell r="Q10">
            <v>0</v>
          </cell>
          <cell r="T10">
            <v>0</v>
          </cell>
        </row>
        <row r="11">
          <cell r="A11">
            <v>9</v>
          </cell>
          <cell r="B11" t="str">
            <v>Citrus</v>
          </cell>
          <cell r="C11">
            <v>1</v>
          </cell>
          <cell r="D11">
            <v>1</v>
          </cell>
          <cell r="E11">
            <v>16772.95</v>
          </cell>
          <cell r="G11">
            <v>16668.63</v>
          </cell>
          <cell r="I11">
            <v>15437.380000000001</v>
          </cell>
          <cell r="K11">
            <v>1734994</v>
          </cell>
          <cell r="P11">
            <v>0</v>
          </cell>
          <cell r="Q11">
            <v>0</v>
          </cell>
          <cell r="T11">
            <v>0</v>
          </cell>
        </row>
        <row r="12">
          <cell r="A12">
            <v>10</v>
          </cell>
          <cell r="B12" t="str">
            <v>Clay</v>
          </cell>
          <cell r="C12">
            <v>1</v>
          </cell>
          <cell r="D12">
            <v>1</v>
          </cell>
          <cell r="E12">
            <v>41441.170000000006</v>
          </cell>
          <cell r="G12">
            <v>40742.970000000008</v>
          </cell>
          <cell r="I12">
            <v>38283.220000000008</v>
          </cell>
          <cell r="K12">
            <v>18975912</v>
          </cell>
          <cell r="P12">
            <v>0</v>
          </cell>
          <cell r="Q12">
            <v>0</v>
          </cell>
          <cell r="T12">
            <v>0</v>
          </cell>
        </row>
        <row r="13">
          <cell r="A13">
            <v>11</v>
          </cell>
          <cell r="B13" t="str">
            <v>Collier</v>
          </cell>
          <cell r="C13">
            <v>1.0485</v>
          </cell>
          <cell r="D13">
            <v>1</v>
          </cell>
          <cell r="E13">
            <v>52096.56</v>
          </cell>
          <cell r="G13">
            <v>51863.03</v>
          </cell>
          <cell r="I13">
            <v>48232.78</v>
          </cell>
          <cell r="K13">
            <v>0</v>
          </cell>
          <cell r="P13">
            <v>0</v>
          </cell>
          <cell r="Q13">
            <v>0</v>
          </cell>
          <cell r="T13">
            <v>0</v>
          </cell>
        </row>
        <row r="14">
          <cell r="A14">
            <v>12</v>
          </cell>
          <cell r="B14" t="str">
            <v>Columbia</v>
          </cell>
          <cell r="C14">
            <v>1</v>
          </cell>
          <cell r="D14">
            <v>1.0277000000000001</v>
          </cell>
          <cell r="E14">
            <v>10477.290000000001</v>
          </cell>
          <cell r="G14">
            <v>10427.52</v>
          </cell>
          <cell r="I14">
            <v>9284.77</v>
          </cell>
          <cell r="K14">
            <v>5151893</v>
          </cell>
          <cell r="P14">
            <v>0</v>
          </cell>
          <cell r="Q14">
            <v>0</v>
          </cell>
          <cell r="T14">
            <v>0</v>
          </cell>
        </row>
        <row r="15">
          <cell r="A15">
            <v>13</v>
          </cell>
          <cell r="B15" t="str">
            <v>Miami-Dade</v>
          </cell>
          <cell r="C15">
            <v>1.0222</v>
          </cell>
          <cell r="D15">
            <v>1</v>
          </cell>
          <cell r="E15">
            <v>381116.93000000005</v>
          </cell>
          <cell r="G15">
            <v>379965.66000000003</v>
          </cell>
          <cell r="I15">
            <v>327791.91000000003</v>
          </cell>
          <cell r="K15">
            <v>0</v>
          </cell>
          <cell r="P15">
            <v>0</v>
          </cell>
          <cell r="Q15">
            <v>0</v>
          </cell>
          <cell r="T15">
            <v>0</v>
          </cell>
        </row>
        <row r="16">
          <cell r="A16">
            <v>14</v>
          </cell>
          <cell r="B16" t="str">
            <v>De Soto</v>
          </cell>
          <cell r="C16">
            <v>1</v>
          </cell>
          <cell r="D16">
            <v>1.0277000000000001</v>
          </cell>
          <cell r="E16">
            <v>4729.6599999999989</v>
          </cell>
          <cell r="G16">
            <v>4715.8999999999987</v>
          </cell>
          <cell r="I16">
            <v>4181.3999999999987</v>
          </cell>
          <cell r="K16">
            <v>1737582</v>
          </cell>
          <cell r="P16">
            <v>0</v>
          </cell>
          <cell r="Q16">
            <v>0</v>
          </cell>
          <cell r="T16">
            <v>0</v>
          </cell>
        </row>
        <row r="17">
          <cell r="A17">
            <v>15</v>
          </cell>
          <cell r="B17" t="str">
            <v>Dixie</v>
          </cell>
          <cell r="C17">
            <v>1</v>
          </cell>
          <cell r="D17">
            <v>1.0277000000000001</v>
          </cell>
          <cell r="E17">
            <v>2130.2999999999997</v>
          </cell>
          <cell r="G17">
            <v>2117.2199999999998</v>
          </cell>
          <cell r="I17">
            <v>1925.4699999999998</v>
          </cell>
          <cell r="K17">
            <v>1118919</v>
          </cell>
          <cell r="P17">
            <v>0</v>
          </cell>
          <cell r="Q17">
            <v>0</v>
          </cell>
          <cell r="T17">
            <v>0</v>
          </cell>
        </row>
        <row r="18">
          <cell r="A18">
            <v>16</v>
          </cell>
          <cell r="B18" t="str">
            <v>Duval</v>
          </cell>
          <cell r="C18">
            <v>1.0091000000000001</v>
          </cell>
          <cell r="D18">
            <v>1</v>
          </cell>
          <cell r="E18">
            <v>146804.18000000002</v>
          </cell>
          <cell r="G18">
            <v>144926.05000000002</v>
          </cell>
          <cell r="I18">
            <v>126119.30000000002</v>
          </cell>
          <cell r="K18">
            <v>35397424</v>
          </cell>
          <cell r="P18">
            <v>0</v>
          </cell>
          <cell r="Q18">
            <v>0</v>
          </cell>
          <cell r="T18">
            <v>151.07</v>
          </cell>
        </row>
        <row r="19">
          <cell r="A19">
            <v>17</v>
          </cell>
          <cell r="B19" t="str">
            <v>Escambia</v>
          </cell>
          <cell r="C19">
            <v>1</v>
          </cell>
          <cell r="D19">
            <v>1</v>
          </cell>
          <cell r="E19">
            <v>40246.240000000005</v>
          </cell>
          <cell r="G19">
            <v>39977.410000000003</v>
          </cell>
          <cell r="I19">
            <v>35852.660000000003</v>
          </cell>
          <cell r="K19">
            <v>8912530</v>
          </cell>
          <cell r="P19">
            <v>0</v>
          </cell>
          <cell r="Q19">
            <v>0</v>
          </cell>
          <cell r="T19">
            <v>693</v>
          </cell>
        </row>
        <row r="20">
          <cell r="A20">
            <v>18</v>
          </cell>
          <cell r="B20" t="str">
            <v>Flagler</v>
          </cell>
          <cell r="C20">
            <v>1</v>
          </cell>
          <cell r="D20">
            <v>1</v>
          </cell>
          <cell r="E20">
            <v>14873.33</v>
          </cell>
          <cell r="G20">
            <v>14664.22</v>
          </cell>
          <cell r="I20">
            <v>13428.47</v>
          </cell>
          <cell r="K20">
            <v>0</v>
          </cell>
          <cell r="P20">
            <v>0</v>
          </cell>
          <cell r="Q20">
            <v>0</v>
          </cell>
          <cell r="T20">
            <v>0</v>
          </cell>
        </row>
        <row r="21">
          <cell r="A21">
            <v>19</v>
          </cell>
          <cell r="B21" t="str">
            <v>Franklin</v>
          </cell>
          <cell r="C21">
            <v>1</v>
          </cell>
          <cell r="D21">
            <v>1.0277000000000001</v>
          </cell>
          <cell r="E21">
            <v>1158.4199999999998</v>
          </cell>
          <cell r="G21">
            <v>1120.6299999999999</v>
          </cell>
          <cell r="I21">
            <v>1081.1299999999999</v>
          </cell>
          <cell r="K21">
            <v>0</v>
          </cell>
          <cell r="P21">
            <v>0</v>
          </cell>
          <cell r="Q21">
            <v>0</v>
          </cell>
          <cell r="T21">
            <v>0</v>
          </cell>
        </row>
        <row r="22">
          <cell r="A22">
            <v>20</v>
          </cell>
          <cell r="B22" t="str">
            <v>Gadsden</v>
          </cell>
          <cell r="C22">
            <v>1</v>
          </cell>
          <cell r="D22">
            <v>1.0277000000000001</v>
          </cell>
          <cell r="E22">
            <v>4752.59</v>
          </cell>
          <cell r="G22">
            <v>4744.37</v>
          </cell>
          <cell r="I22">
            <v>4164.12</v>
          </cell>
          <cell r="K22">
            <v>2036770</v>
          </cell>
          <cell r="P22">
            <v>0</v>
          </cell>
          <cell r="Q22">
            <v>0</v>
          </cell>
          <cell r="T22">
            <v>0</v>
          </cell>
        </row>
        <row r="23">
          <cell r="A23">
            <v>21</v>
          </cell>
          <cell r="B23" t="str">
            <v>Gilchrist</v>
          </cell>
          <cell r="C23">
            <v>1</v>
          </cell>
          <cell r="D23">
            <v>1.0277000000000001</v>
          </cell>
          <cell r="E23">
            <v>3136.8399999999997</v>
          </cell>
          <cell r="G23">
            <v>3087.12</v>
          </cell>
          <cell r="I23">
            <v>2833.62</v>
          </cell>
          <cell r="K23">
            <v>1560170</v>
          </cell>
          <cell r="P23">
            <v>0</v>
          </cell>
          <cell r="Q23">
            <v>0</v>
          </cell>
          <cell r="T23">
            <v>0</v>
          </cell>
        </row>
        <row r="24">
          <cell r="A24">
            <v>22</v>
          </cell>
          <cell r="B24" t="str">
            <v>Glades</v>
          </cell>
          <cell r="C24">
            <v>1</v>
          </cell>
          <cell r="D24">
            <v>1.0277000000000001</v>
          </cell>
          <cell r="E24">
            <v>1870.47</v>
          </cell>
          <cell r="G24">
            <v>1870.47</v>
          </cell>
          <cell r="I24">
            <v>1752.22</v>
          </cell>
          <cell r="K24">
            <v>614019</v>
          </cell>
          <cell r="P24">
            <v>0</v>
          </cell>
          <cell r="Q24">
            <v>0</v>
          </cell>
          <cell r="T24">
            <v>1198.79</v>
          </cell>
        </row>
        <row r="25">
          <cell r="A25">
            <v>23</v>
          </cell>
          <cell r="B25" t="str">
            <v>Gulf</v>
          </cell>
          <cell r="C25">
            <v>1</v>
          </cell>
          <cell r="D25">
            <v>1.0277000000000001</v>
          </cell>
          <cell r="E25">
            <v>1898.5</v>
          </cell>
          <cell r="G25">
            <v>1882.8</v>
          </cell>
          <cell r="I25">
            <v>1806.3</v>
          </cell>
          <cell r="K25">
            <v>0</v>
          </cell>
          <cell r="P25">
            <v>0</v>
          </cell>
          <cell r="Q25">
            <v>0</v>
          </cell>
          <cell r="T25">
            <v>0</v>
          </cell>
        </row>
        <row r="26">
          <cell r="A26">
            <v>24</v>
          </cell>
          <cell r="B26" t="str">
            <v>Hamilton</v>
          </cell>
          <cell r="C26">
            <v>1</v>
          </cell>
          <cell r="D26">
            <v>1.0277000000000001</v>
          </cell>
          <cell r="E26">
            <v>1670.41</v>
          </cell>
          <cell r="G26">
            <v>1666.15</v>
          </cell>
          <cell r="I26">
            <v>1527.4</v>
          </cell>
          <cell r="K26">
            <v>390425</v>
          </cell>
          <cell r="P26">
            <v>0</v>
          </cell>
          <cell r="Q26">
            <v>0</v>
          </cell>
          <cell r="T26">
            <v>0</v>
          </cell>
        </row>
        <row r="27">
          <cell r="A27">
            <v>25</v>
          </cell>
          <cell r="B27" t="str">
            <v>Hardee</v>
          </cell>
          <cell r="C27">
            <v>1</v>
          </cell>
          <cell r="D27">
            <v>1.0277000000000001</v>
          </cell>
          <cell r="E27">
            <v>4669.63</v>
          </cell>
          <cell r="G27">
            <v>4616.96</v>
          </cell>
          <cell r="I27">
            <v>4518.71</v>
          </cell>
          <cell r="K27">
            <v>1712587</v>
          </cell>
          <cell r="P27">
            <v>0</v>
          </cell>
          <cell r="Q27">
            <v>0</v>
          </cell>
          <cell r="T27">
            <v>0</v>
          </cell>
        </row>
        <row r="28">
          <cell r="A28">
            <v>26</v>
          </cell>
          <cell r="B28" t="str">
            <v>Hendry</v>
          </cell>
          <cell r="C28">
            <v>1</v>
          </cell>
          <cell r="D28">
            <v>1.0277000000000001</v>
          </cell>
          <cell r="E28">
            <v>13183.13</v>
          </cell>
          <cell r="G28">
            <v>7978.3499999999976</v>
          </cell>
          <cell r="I28">
            <v>7390.5999999999976</v>
          </cell>
          <cell r="K28">
            <v>7367920</v>
          </cell>
          <cell r="P28">
            <v>0</v>
          </cell>
          <cell r="Q28">
            <v>0</v>
          </cell>
          <cell r="T28">
            <v>0</v>
          </cell>
        </row>
        <row r="29">
          <cell r="A29">
            <v>27</v>
          </cell>
          <cell r="B29" t="str">
            <v>Hernando</v>
          </cell>
          <cell r="C29">
            <v>1</v>
          </cell>
          <cell r="D29">
            <v>1</v>
          </cell>
          <cell r="E29">
            <v>25677.229999999996</v>
          </cell>
          <cell r="G29">
            <v>25231.979999999996</v>
          </cell>
          <cell r="I29">
            <v>22674.979999999996</v>
          </cell>
          <cell r="K29">
            <v>6991396</v>
          </cell>
          <cell r="P29">
            <v>0</v>
          </cell>
          <cell r="Q29">
            <v>0</v>
          </cell>
          <cell r="T29">
            <v>0</v>
          </cell>
        </row>
        <row r="30">
          <cell r="A30">
            <v>28</v>
          </cell>
          <cell r="B30" t="str">
            <v>Highlands</v>
          </cell>
          <cell r="C30">
            <v>1</v>
          </cell>
          <cell r="D30">
            <v>1.0277000000000001</v>
          </cell>
          <cell r="E30">
            <v>13011.650000000001</v>
          </cell>
          <cell r="G30">
            <v>12743.930000000002</v>
          </cell>
          <cell r="I30">
            <v>11605.180000000002</v>
          </cell>
          <cell r="K30">
            <v>3917938</v>
          </cell>
          <cell r="P30">
            <v>0</v>
          </cell>
          <cell r="Q30">
            <v>0</v>
          </cell>
          <cell r="T30">
            <v>0</v>
          </cell>
        </row>
        <row r="31">
          <cell r="A31">
            <v>29</v>
          </cell>
          <cell r="B31" t="str">
            <v>Hillsborough</v>
          </cell>
          <cell r="C31">
            <v>1.0121</v>
          </cell>
          <cell r="D31">
            <v>1</v>
          </cell>
          <cell r="E31">
            <v>239843.83</v>
          </cell>
          <cell r="G31">
            <v>235148.33</v>
          </cell>
          <cell r="I31">
            <v>214654.07999999999</v>
          </cell>
          <cell r="K31">
            <v>63366740</v>
          </cell>
          <cell r="P31">
            <v>0</v>
          </cell>
          <cell r="Q31">
            <v>0</v>
          </cell>
          <cell r="T31">
            <v>69.650000000000006</v>
          </cell>
        </row>
        <row r="32">
          <cell r="A32">
            <v>30</v>
          </cell>
          <cell r="B32" t="str">
            <v>Holmes</v>
          </cell>
          <cell r="C32">
            <v>1</v>
          </cell>
          <cell r="D32">
            <v>1.0277000000000001</v>
          </cell>
          <cell r="E32">
            <v>3116.1500000000005</v>
          </cell>
          <cell r="G32">
            <v>3031.3500000000004</v>
          </cell>
          <cell r="I32">
            <v>2936.3500000000004</v>
          </cell>
          <cell r="K32">
            <v>2037526</v>
          </cell>
          <cell r="P32">
            <v>0</v>
          </cell>
          <cell r="Q32">
            <v>0</v>
          </cell>
          <cell r="T32">
            <v>0</v>
          </cell>
        </row>
        <row r="33">
          <cell r="A33">
            <v>31</v>
          </cell>
          <cell r="B33" t="str">
            <v>Indian River</v>
          </cell>
          <cell r="C33">
            <v>1</v>
          </cell>
          <cell r="D33">
            <v>1</v>
          </cell>
          <cell r="E33">
            <v>18125.629999999997</v>
          </cell>
          <cell r="G33">
            <v>18092.979999999996</v>
          </cell>
          <cell r="I33">
            <v>16420.979999999996</v>
          </cell>
          <cell r="K33">
            <v>0</v>
          </cell>
          <cell r="P33">
            <v>0</v>
          </cell>
          <cell r="Q33">
            <v>0</v>
          </cell>
          <cell r="T33">
            <v>0</v>
          </cell>
        </row>
        <row r="34">
          <cell r="A34">
            <v>32</v>
          </cell>
          <cell r="B34" t="str">
            <v>Jackson</v>
          </cell>
          <cell r="C34">
            <v>1</v>
          </cell>
          <cell r="D34">
            <v>1.0277000000000001</v>
          </cell>
          <cell r="E34">
            <v>5915.37</v>
          </cell>
          <cell r="G34">
            <v>5873.28</v>
          </cell>
          <cell r="I34">
            <v>5611.53</v>
          </cell>
          <cell r="K34">
            <v>3040737</v>
          </cell>
          <cell r="P34">
            <v>0</v>
          </cell>
          <cell r="Q34">
            <v>0</v>
          </cell>
          <cell r="T34">
            <v>0</v>
          </cell>
        </row>
        <row r="35">
          <cell r="A35">
            <v>33</v>
          </cell>
          <cell r="B35" t="str">
            <v>Jefferson</v>
          </cell>
          <cell r="C35">
            <v>1</v>
          </cell>
          <cell r="D35">
            <v>1.0277000000000001</v>
          </cell>
          <cell r="E35">
            <v>865.75000000000011</v>
          </cell>
          <cell r="G35">
            <v>852.67000000000007</v>
          </cell>
          <cell r="I35">
            <v>698.17000000000007</v>
          </cell>
          <cell r="K35">
            <v>0</v>
          </cell>
          <cell r="P35">
            <v>0</v>
          </cell>
          <cell r="Q35">
            <v>0</v>
          </cell>
          <cell r="T35">
            <v>0</v>
          </cell>
        </row>
        <row r="36">
          <cell r="A36">
            <v>34</v>
          </cell>
          <cell r="B36" t="str">
            <v>Lafayette</v>
          </cell>
          <cell r="C36">
            <v>1</v>
          </cell>
          <cell r="D36">
            <v>1.0277000000000001</v>
          </cell>
          <cell r="E36">
            <v>1159.75</v>
          </cell>
          <cell r="G36">
            <v>1157.75</v>
          </cell>
          <cell r="I36">
            <v>1114.75</v>
          </cell>
          <cell r="K36">
            <v>662171</v>
          </cell>
          <cell r="P36">
            <v>0</v>
          </cell>
          <cell r="Q36">
            <v>0</v>
          </cell>
          <cell r="T36">
            <v>0</v>
          </cell>
        </row>
        <row r="37">
          <cell r="A37">
            <v>35</v>
          </cell>
          <cell r="B37" t="str">
            <v>Lake</v>
          </cell>
          <cell r="C37">
            <v>1</v>
          </cell>
          <cell r="D37">
            <v>1</v>
          </cell>
          <cell r="E37">
            <v>53148.590000000004</v>
          </cell>
          <cell r="G37">
            <v>52634.26</v>
          </cell>
          <cell r="I37">
            <v>47357.760000000002</v>
          </cell>
          <cell r="K37">
            <v>12555291</v>
          </cell>
          <cell r="P37">
            <v>0</v>
          </cell>
          <cell r="Q37">
            <v>0</v>
          </cell>
          <cell r="T37">
            <v>0</v>
          </cell>
        </row>
        <row r="38">
          <cell r="A38">
            <v>36</v>
          </cell>
          <cell r="B38" t="str">
            <v>Lee</v>
          </cell>
          <cell r="C38">
            <v>1.0069999999999999</v>
          </cell>
          <cell r="D38">
            <v>1</v>
          </cell>
          <cell r="E38">
            <v>107550.54</v>
          </cell>
          <cell r="G38">
            <v>106852.37999999999</v>
          </cell>
          <cell r="I38">
            <v>99800.87999999999</v>
          </cell>
          <cell r="K38">
            <v>0</v>
          </cell>
          <cell r="P38">
            <v>0</v>
          </cell>
          <cell r="Q38">
            <v>0</v>
          </cell>
          <cell r="T38">
            <v>0</v>
          </cell>
        </row>
        <row r="39">
          <cell r="A39">
            <v>37</v>
          </cell>
          <cell r="B39" t="str">
            <v>Leon</v>
          </cell>
          <cell r="C39">
            <v>1</v>
          </cell>
          <cell r="D39">
            <v>1</v>
          </cell>
          <cell r="E39">
            <v>34591.14</v>
          </cell>
          <cell r="G39">
            <v>34494.11</v>
          </cell>
          <cell r="I39">
            <v>31327.11</v>
          </cell>
          <cell r="K39">
            <v>9227878</v>
          </cell>
          <cell r="P39">
            <v>0</v>
          </cell>
          <cell r="Q39">
            <v>0</v>
          </cell>
          <cell r="T39">
            <v>0</v>
          </cell>
        </row>
        <row r="40">
          <cell r="A40">
            <v>38</v>
          </cell>
          <cell r="B40" t="str">
            <v>Levy</v>
          </cell>
          <cell r="C40">
            <v>1</v>
          </cell>
          <cell r="D40">
            <v>1.0277000000000001</v>
          </cell>
          <cell r="E40">
            <v>5885.45</v>
          </cell>
          <cell r="G40">
            <v>5857.23</v>
          </cell>
          <cell r="I40">
            <v>5342.73</v>
          </cell>
          <cell r="K40">
            <v>2209516</v>
          </cell>
          <cell r="P40">
            <v>0</v>
          </cell>
          <cell r="Q40">
            <v>0</v>
          </cell>
          <cell r="T40">
            <v>0</v>
          </cell>
        </row>
        <row r="41">
          <cell r="A41">
            <v>39</v>
          </cell>
          <cell r="B41" t="str">
            <v>Liberty</v>
          </cell>
          <cell r="C41">
            <v>1</v>
          </cell>
          <cell r="D41">
            <v>1.0277000000000001</v>
          </cell>
          <cell r="E41">
            <v>1278.25</v>
          </cell>
          <cell r="G41">
            <v>1271.53</v>
          </cell>
          <cell r="I41">
            <v>1251.03</v>
          </cell>
          <cell r="K41">
            <v>756532</v>
          </cell>
          <cell r="P41">
            <v>0</v>
          </cell>
          <cell r="Q41">
            <v>0</v>
          </cell>
          <cell r="T41">
            <v>0</v>
          </cell>
        </row>
        <row r="42">
          <cell r="A42">
            <v>40</v>
          </cell>
          <cell r="B42" t="str">
            <v>Madison</v>
          </cell>
          <cell r="C42">
            <v>1</v>
          </cell>
          <cell r="D42">
            <v>1.0277000000000001</v>
          </cell>
          <cell r="E42">
            <v>2300.6</v>
          </cell>
          <cell r="G42">
            <v>2287.2999999999997</v>
          </cell>
          <cell r="I42">
            <v>2172.2999999999997</v>
          </cell>
          <cell r="K42">
            <v>911889</v>
          </cell>
          <cell r="P42">
            <v>0</v>
          </cell>
          <cell r="Q42">
            <v>0</v>
          </cell>
          <cell r="T42">
            <v>0</v>
          </cell>
        </row>
        <row r="43">
          <cell r="A43">
            <v>41</v>
          </cell>
          <cell r="B43" t="str">
            <v>Manatee</v>
          </cell>
          <cell r="C43">
            <v>1</v>
          </cell>
          <cell r="D43">
            <v>1</v>
          </cell>
          <cell r="E43">
            <v>56469.75</v>
          </cell>
          <cell r="G43">
            <v>56424.69</v>
          </cell>
          <cell r="I43">
            <v>51673.94</v>
          </cell>
          <cell r="K43">
            <v>0</v>
          </cell>
          <cell r="P43">
            <v>0</v>
          </cell>
          <cell r="Q43">
            <v>0</v>
          </cell>
          <cell r="T43">
            <v>0</v>
          </cell>
        </row>
        <row r="44">
          <cell r="A44">
            <v>42</v>
          </cell>
          <cell r="B44" t="str">
            <v>Marion</v>
          </cell>
          <cell r="C44">
            <v>1</v>
          </cell>
          <cell r="D44">
            <v>1</v>
          </cell>
          <cell r="E44">
            <v>50311.97</v>
          </cell>
          <cell r="G44">
            <v>49509.26</v>
          </cell>
          <cell r="I44">
            <v>44889.760000000002</v>
          </cell>
          <cell r="K44">
            <v>14927561</v>
          </cell>
          <cell r="P44">
            <v>0</v>
          </cell>
          <cell r="Q44">
            <v>0</v>
          </cell>
          <cell r="T44">
            <v>0</v>
          </cell>
        </row>
        <row r="45">
          <cell r="A45">
            <v>43</v>
          </cell>
          <cell r="B45" t="str">
            <v>Martin</v>
          </cell>
          <cell r="C45">
            <v>1.0067999999999999</v>
          </cell>
          <cell r="D45">
            <v>1</v>
          </cell>
          <cell r="E45">
            <v>19731.43</v>
          </cell>
          <cell r="G45">
            <v>19726.349999999999</v>
          </cell>
          <cell r="I45">
            <v>17755.599999999999</v>
          </cell>
          <cell r="K45">
            <v>0</v>
          </cell>
          <cell r="P45">
            <v>0</v>
          </cell>
          <cell r="Q45">
            <v>0</v>
          </cell>
          <cell r="T45">
            <v>0</v>
          </cell>
        </row>
        <row r="46">
          <cell r="A46">
            <v>44</v>
          </cell>
          <cell r="B46" t="str">
            <v>Monroe</v>
          </cell>
          <cell r="C46">
            <v>1.0381</v>
          </cell>
          <cell r="D46">
            <v>1</v>
          </cell>
          <cell r="E46">
            <v>8886.57</v>
          </cell>
          <cell r="G46">
            <v>8871.93</v>
          </cell>
          <cell r="I46">
            <v>8411.18</v>
          </cell>
          <cell r="K46">
            <v>0</v>
          </cell>
          <cell r="P46">
            <v>0</v>
          </cell>
          <cell r="Q46">
            <v>0</v>
          </cell>
          <cell r="T46">
            <v>2414.75</v>
          </cell>
        </row>
        <row r="47">
          <cell r="A47">
            <v>45</v>
          </cell>
          <cell r="B47" t="str">
            <v>Nassau</v>
          </cell>
          <cell r="C47">
            <v>1</v>
          </cell>
          <cell r="D47">
            <v>1</v>
          </cell>
          <cell r="E47">
            <v>14056.91</v>
          </cell>
          <cell r="G47">
            <v>13943.21</v>
          </cell>
          <cell r="I47">
            <v>12795.96</v>
          </cell>
          <cell r="K47">
            <v>0</v>
          </cell>
          <cell r="P47">
            <v>0</v>
          </cell>
          <cell r="Q47">
            <v>0</v>
          </cell>
          <cell r="T47">
            <v>0</v>
          </cell>
        </row>
        <row r="48">
          <cell r="A48">
            <v>46</v>
          </cell>
          <cell r="B48" t="str">
            <v>Okaloosa</v>
          </cell>
          <cell r="C48">
            <v>1</v>
          </cell>
          <cell r="D48">
            <v>1</v>
          </cell>
          <cell r="E48">
            <v>33720.239999999998</v>
          </cell>
          <cell r="G48">
            <v>33143.4</v>
          </cell>
          <cell r="I48">
            <v>30951.65</v>
          </cell>
          <cell r="K48">
            <v>4693857</v>
          </cell>
          <cell r="P48">
            <v>0</v>
          </cell>
          <cell r="Q48">
            <v>0</v>
          </cell>
          <cell r="T48">
            <v>209.21</v>
          </cell>
        </row>
        <row r="49">
          <cell r="A49">
            <v>47</v>
          </cell>
          <cell r="B49" t="str">
            <v>Okeechobee</v>
          </cell>
          <cell r="C49">
            <v>1</v>
          </cell>
          <cell r="D49">
            <v>1.0277000000000001</v>
          </cell>
          <cell r="E49">
            <v>6398.9500000000007</v>
          </cell>
          <cell r="G49">
            <v>6364.7300000000005</v>
          </cell>
          <cell r="I49">
            <v>6083.7300000000005</v>
          </cell>
          <cell r="K49">
            <v>994973</v>
          </cell>
          <cell r="P49">
            <v>0</v>
          </cell>
          <cell r="Q49">
            <v>0</v>
          </cell>
          <cell r="T49">
            <v>0</v>
          </cell>
        </row>
        <row r="50">
          <cell r="A50">
            <v>48</v>
          </cell>
          <cell r="B50" t="str">
            <v>Orange</v>
          </cell>
          <cell r="C50">
            <v>1.0103</v>
          </cell>
          <cell r="D50">
            <v>1</v>
          </cell>
          <cell r="E50">
            <v>224565.64</v>
          </cell>
          <cell r="G50">
            <v>221937.85</v>
          </cell>
          <cell r="I50">
            <v>199686.6</v>
          </cell>
          <cell r="K50">
            <v>12360093</v>
          </cell>
          <cell r="P50">
            <v>0</v>
          </cell>
          <cell r="Q50">
            <v>0</v>
          </cell>
          <cell r="T50">
            <v>0</v>
          </cell>
        </row>
        <row r="51">
          <cell r="A51">
            <v>49</v>
          </cell>
          <cell r="B51" t="str">
            <v>Osceola</v>
          </cell>
          <cell r="C51">
            <v>1</v>
          </cell>
          <cell r="D51">
            <v>1</v>
          </cell>
          <cell r="E51">
            <v>81059.809999999983</v>
          </cell>
          <cell r="G51">
            <v>78852.449999999983</v>
          </cell>
          <cell r="I51">
            <v>71586.699999999983</v>
          </cell>
          <cell r="K51">
            <v>24350367</v>
          </cell>
          <cell r="P51">
            <v>0</v>
          </cell>
          <cell r="Q51">
            <v>0</v>
          </cell>
          <cell r="T51">
            <v>0</v>
          </cell>
        </row>
        <row r="52">
          <cell r="A52">
            <v>50</v>
          </cell>
          <cell r="B52" t="str">
            <v>Palm Beach</v>
          </cell>
          <cell r="C52">
            <v>1.0407999999999999</v>
          </cell>
          <cell r="D52">
            <v>1</v>
          </cell>
          <cell r="E52">
            <v>210228.90999999997</v>
          </cell>
          <cell r="G52">
            <v>209892.25999999998</v>
          </cell>
          <cell r="I52">
            <v>187328.75999999998</v>
          </cell>
          <cell r="K52">
            <v>0</v>
          </cell>
          <cell r="P52">
            <v>0</v>
          </cell>
          <cell r="Q52">
            <v>0</v>
          </cell>
          <cell r="T52">
            <v>0</v>
          </cell>
        </row>
        <row r="53">
          <cell r="A53">
            <v>51</v>
          </cell>
          <cell r="B53" t="str">
            <v>Pasco</v>
          </cell>
          <cell r="C53">
            <v>1</v>
          </cell>
          <cell r="D53">
            <v>1</v>
          </cell>
          <cell r="E53">
            <v>92525.72</v>
          </cell>
          <cell r="G53">
            <v>90373.7</v>
          </cell>
          <cell r="I53">
            <v>83632.2</v>
          </cell>
          <cell r="K53">
            <v>32884566</v>
          </cell>
          <cell r="P53">
            <v>0</v>
          </cell>
          <cell r="Q53">
            <v>0</v>
          </cell>
          <cell r="T53">
            <v>0</v>
          </cell>
        </row>
        <row r="54">
          <cell r="A54">
            <v>52</v>
          </cell>
          <cell r="B54" t="str">
            <v>Pinellas</v>
          </cell>
          <cell r="C54">
            <v>1.0035000000000001</v>
          </cell>
          <cell r="D54">
            <v>1</v>
          </cell>
          <cell r="E54">
            <v>99443.079999999987</v>
          </cell>
          <cell r="G54">
            <v>98810.79</v>
          </cell>
          <cell r="I54">
            <v>84571.04</v>
          </cell>
          <cell r="K54">
            <v>0</v>
          </cell>
          <cell r="P54">
            <v>0</v>
          </cell>
          <cell r="Q54">
            <v>0</v>
          </cell>
          <cell r="T54">
            <v>0</v>
          </cell>
        </row>
        <row r="55">
          <cell r="A55">
            <v>53</v>
          </cell>
          <cell r="B55" t="str">
            <v>Polk</v>
          </cell>
          <cell r="C55">
            <v>1</v>
          </cell>
          <cell r="D55">
            <v>1</v>
          </cell>
          <cell r="E55">
            <v>127670.54000000001</v>
          </cell>
          <cell r="G55">
            <v>127222.41</v>
          </cell>
          <cell r="I55">
            <v>115925.66</v>
          </cell>
          <cell r="K55">
            <v>51192056</v>
          </cell>
          <cell r="P55">
            <v>0</v>
          </cell>
          <cell r="Q55">
            <v>0</v>
          </cell>
          <cell r="T55">
            <v>0</v>
          </cell>
        </row>
        <row r="56">
          <cell r="A56">
            <v>54</v>
          </cell>
          <cell r="B56" t="str">
            <v>Putnam</v>
          </cell>
          <cell r="C56">
            <v>1</v>
          </cell>
          <cell r="D56">
            <v>1.0277000000000001</v>
          </cell>
          <cell r="E56">
            <v>10210.969999999999</v>
          </cell>
          <cell r="G56">
            <v>10160.59</v>
          </cell>
          <cell r="I56">
            <v>9656.84</v>
          </cell>
          <cell r="K56">
            <v>2457883</v>
          </cell>
          <cell r="P56">
            <v>0</v>
          </cell>
          <cell r="Q56">
            <v>0</v>
          </cell>
          <cell r="T56">
            <v>0</v>
          </cell>
        </row>
        <row r="57">
          <cell r="A57">
            <v>55</v>
          </cell>
          <cell r="B57" t="str">
            <v>St. Johns</v>
          </cell>
          <cell r="C57">
            <v>1</v>
          </cell>
          <cell r="D57">
            <v>1</v>
          </cell>
          <cell r="E57">
            <v>55612.089999999989</v>
          </cell>
          <cell r="G57">
            <v>54949.089999999989</v>
          </cell>
          <cell r="I57">
            <v>50302.839999999989</v>
          </cell>
          <cell r="K57">
            <v>2613212</v>
          </cell>
          <cell r="P57">
            <v>0</v>
          </cell>
          <cell r="Q57">
            <v>0</v>
          </cell>
          <cell r="T57">
            <v>0</v>
          </cell>
        </row>
        <row r="58">
          <cell r="A58">
            <v>56</v>
          </cell>
          <cell r="B58" t="str">
            <v>St. Lucie</v>
          </cell>
          <cell r="C58">
            <v>1</v>
          </cell>
          <cell r="D58">
            <v>1</v>
          </cell>
          <cell r="E58">
            <v>52664.289999999994</v>
          </cell>
          <cell r="G58">
            <v>52380.289999999994</v>
          </cell>
          <cell r="I58">
            <v>47795.789999999994</v>
          </cell>
          <cell r="K58">
            <v>10482300</v>
          </cell>
          <cell r="P58">
            <v>0</v>
          </cell>
          <cell r="Q58">
            <v>0</v>
          </cell>
          <cell r="T58">
            <v>0</v>
          </cell>
        </row>
        <row r="59">
          <cell r="A59">
            <v>57</v>
          </cell>
          <cell r="B59" t="str">
            <v>Santa Rosa</v>
          </cell>
          <cell r="C59">
            <v>1</v>
          </cell>
          <cell r="D59">
            <v>1</v>
          </cell>
          <cell r="E59">
            <v>31656.560000000001</v>
          </cell>
          <cell r="G59">
            <v>31435.82</v>
          </cell>
          <cell r="I59">
            <v>29314.82</v>
          </cell>
          <cell r="K59">
            <v>11396045</v>
          </cell>
          <cell r="P59">
            <v>0</v>
          </cell>
          <cell r="Q59">
            <v>0</v>
          </cell>
          <cell r="T59">
            <v>316.38</v>
          </cell>
        </row>
        <row r="60">
          <cell r="A60">
            <v>58</v>
          </cell>
          <cell r="B60" t="str">
            <v>Sarasota</v>
          </cell>
          <cell r="C60">
            <v>1.0158</v>
          </cell>
          <cell r="D60">
            <v>1</v>
          </cell>
          <cell r="E60">
            <v>48660.24</v>
          </cell>
          <cell r="G60">
            <v>48480.52</v>
          </cell>
          <cell r="I60">
            <v>44750.77</v>
          </cell>
          <cell r="K60">
            <v>0</v>
          </cell>
          <cell r="P60">
            <v>0</v>
          </cell>
          <cell r="Q60">
            <v>0</v>
          </cell>
          <cell r="T60">
            <v>0</v>
          </cell>
        </row>
        <row r="61">
          <cell r="A61">
            <v>59</v>
          </cell>
          <cell r="B61" t="str">
            <v>Seminole</v>
          </cell>
          <cell r="C61">
            <v>1</v>
          </cell>
          <cell r="D61">
            <v>1</v>
          </cell>
          <cell r="E61">
            <v>72207.450000000012</v>
          </cell>
          <cell r="G61">
            <v>71371.770000000019</v>
          </cell>
          <cell r="I61">
            <v>62665.520000000019</v>
          </cell>
          <cell r="K61">
            <v>16861162</v>
          </cell>
          <cell r="P61">
            <v>0</v>
          </cell>
          <cell r="Q61">
            <v>0</v>
          </cell>
          <cell r="T61">
            <v>0</v>
          </cell>
        </row>
        <row r="62">
          <cell r="A62">
            <v>60</v>
          </cell>
          <cell r="B62" t="str">
            <v>Sumter</v>
          </cell>
          <cell r="C62">
            <v>1</v>
          </cell>
          <cell r="D62">
            <v>1</v>
          </cell>
          <cell r="E62">
            <v>10627.14</v>
          </cell>
          <cell r="G62">
            <v>10577.81</v>
          </cell>
          <cell r="I62">
            <v>10162.06</v>
          </cell>
          <cell r="K62">
            <v>0</v>
          </cell>
          <cell r="P62">
            <v>0</v>
          </cell>
          <cell r="Q62">
            <v>0</v>
          </cell>
          <cell r="T62">
            <v>0</v>
          </cell>
        </row>
        <row r="63">
          <cell r="A63">
            <v>61</v>
          </cell>
          <cell r="B63" t="str">
            <v>Suwannee</v>
          </cell>
          <cell r="C63">
            <v>1</v>
          </cell>
          <cell r="D63">
            <v>1.0277000000000001</v>
          </cell>
          <cell r="E63">
            <v>6473.82</v>
          </cell>
          <cell r="G63">
            <v>6353.9299999999994</v>
          </cell>
          <cell r="I63">
            <v>5703.9299999999994</v>
          </cell>
          <cell r="K63">
            <v>3045868</v>
          </cell>
          <cell r="P63">
            <v>0</v>
          </cell>
          <cell r="Q63">
            <v>0</v>
          </cell>
          <cell r="T63">
            <v>0</v>
          </cell>
        </row>
        <row r="64">
          <cell r="A64">
            <v>62</v>
          </cell>
          <cell r="B64" t="str">
            <v>Taylor</v>
          </cell>
          <cell r="C64">
            <v>1</v>
          </cell>
          <cell r="D64">
            <v>1.0277000000000001</v>
          </cell>
          <cell r="E64">
            <v>2814.79</v>
          </cell>
          <cell r="G64">
            <v>2807.41</v>
          </cell>
          <cell r="I64">
            <v>2513.91</v>
          </cell>
          <cell r="K64">
            <v>549757</v>
          </cell>
          <cell r="P64">
            <v>0</v>
          </cell>
          <cell r="Q64">
            <v>0</v>
          </cell>
          <cell r="T64">
            <v>0</v>
          </cell>
        </row>
        <row r="65">
          <cell r="A65">
            <v>63</v>
          </cell>
          <cell r="B65" t="str">
            <v>Union</v>
          </cell>
          <cell r="C65">
            <v>1</v>
          </cell>
          <cell r="D65">
            <v>1.0277000000000001</v>
          </cell>
          <cell r="E65">
            <v>2334.8099999999995</v>
          </cell>
          <cell r="G65">
            <v>2334.8099999999995</v>
          </cell>
          <cell r="I65">
            <v>2234.5599999999995</v>
          </cell>
          <cell r="K65">
            <v>1589982</v>
          </cell>
          <cell r="P65">
            <v>0</v>
          </cell>
          <cell r="Q65">
            <v>0</v>
          </cell>
          <cell r="T65">
            <v>0</v>
          </cell>
        </row>
        <row r="66">
          <cell r="A66">
            <v>64</v>
          </cell>
          <cell r="B66" t="str">
            <v>Volusia</v>
          </cell>
          <cell r="C66">
            <v>1</v>
          </cell>
          <cell r="D66">
            <v>1</v>
          </cell>
          <cell r="E66">
            <v>68886.649999999994</v>
          </cell>
          <cell r="G66">
            <v>68072.189999999988</v>
          </cell>
          <cell r="I66">
            <v>61272.939999999988</v>
          </cell>
          <cell r="K66">
            <v>9821170</v>
          </cell>
          <cell r="P66">
            <v>0</v>
          </cell>
          <cell r="Q66">
            <v>0</v>
          </cell>
          <cell r="T66">
            <v>0</v>
          </cell>
        </row>
        <row r="67">
          <cell r="A67">
            <v>65</v>
          </cell>
          <cell r="B67" t="str">
            <v>Wakulla</v>
          </cell>
          <cell r="C67">
            <v>1</v>
          </cell>
          <cell r="D67">
            <v>1.0277000000000001</v>
          </cell>
          <cell r="E67">
            <v>5399.37</v>
          </cell>
          <cell r="G67">
            <v>5396.96</v>
          </cell>
          <cell r="I67">
            <v>5134.46</v>
          </cell>
          <cell r="K67">
            <v>2552930</v>
          </cell>
          <cell r="P67">
            <v>0</v>
          </cell>
          <cell r="Q67">
            <v>0</v>
          </cell>
          <cell r="T67">
            <v>0</v>
          </cell>
        </row>
        <row r="68">
          <cell r="A68">
            <v>66</v>
          </cell>
          <cell r="B68" t="str">
            <v>Walton</v>
          </cell>
          <cell r="C68">
            <v>1</v>
          </cell>
          <cell r="D68">
            <v>1</v>
          </cell>
          <cell r="E68">
            <v>12751.95</v>
          </cell>
          <cell r="G68">
            <v>12687.980000000001</v>
          </cell>
          <cell r="I68">
            <v>11770.980000000001</v>
          </cell>
          <cell r="K68">
            <v>0</v>
          </cell>
          <cell r="P68">
            <v>0</v>
          </cell>
          <cell r="Q68">
            <v>0</v>
          </cell>
          <cell r="T68">
            <v>0</v>
          </cell>
        </row>
        <row r="69">
          <cell r="A69">
            <v>67</v>
          </cell>
          <cell r="B69" t="str">
            <v>Washington</v>
          </cell>
          <cell r="C69">
            <v>1</v>
          </cell>
          <cell r="D69">
            <v>1.0277000000000001</v>
          </cell>
          <cell r="E69">
            <v>3301.9099999999994</v>
          </cell>
          <cell r="G69">
            <v>3266.9299999999994</v>
          </cell>
          <cell r="I69">
            <v>3058.9299999999994</v>
          </cell>
          <cell r="K69">
            <v>1629096</v>
          </cell>
          <cell r="P69">
            <v>0</v>
          </cell>
          <cell r="Q69">
            <v>0</v>
          </cell>
          <cell r="T69">
            <v>0</v>
          </cell>
        </row>
        <row r="70">
          <cell r="A70">
            <v>69</v>
          </cell>
          <cell r="B70" t="str">
            <v>FAMU Lab School</v>
          </cell>
          <cell r="C70">
            <v>1</v>
          </cell>
          <cell r="D70">
            <v>1</v>
          </cell>
          <cell r="E70">
            <v>557.4</v>
          </cell>
          <cell r="G70">
            <v>557.4</v>
          </cell>
          <cell r="I70">
            <v>557.4</v>
          </cell>
          <cell r="K70">
            <v>148698</v>
          </cell>
          <cell r="P70">
            <v>0</v>
          </cell>
          <cell r="Q70">
            <v>0</v>
          </cell>
        </row>
        <row r="71">
          <cell r="A71">
            <v>70</v>
          </cell>
          <cell r="B71" t="str">
            <v>FAU Lab School</v>
          </cell>
          <cell r="C71">
            <v>1.0407999999999999</v>
          </cell>
          <cell r="D71">
            <v>1</v>
          </cell>
          <cell r="E71">
            <v>1324.59</v>
          </cell>
          <cell r="G71">
            <v>1324.59</v>
          </cell>
          <cell r="I71">
            <v>1324.59</v>
          </cell>
          <cell r="K71">
            <v>0</v>
          </cell>
          <cell r="P71">
            <v>0</v>
          </cell>
          <cell r="Q71">
            <v>0</v>
          </cell>
          <cell r="T71">
            <v>0</v>
          </cell>
        </row>
        <row r="72">
          <cell r="A72">
            <v>72</v>
          </cell>
          <cell r="B72" t="str">
            <v>FSU Lab - Broward</v>
          </cell>
          <cell r="C72">
            <v>1.0259</v>
          </cell>
          <cell r="D72">
            <v>1</v>
          </cell>
          <cell r="E72">
            <v>699.15</v>
          </cell>
          <cell r="G72">
            <v>699.15</v>
          </cell>
          <cell r="I72">
            <v>699.15</v>
          </cell>
          <cell r="K72">
            <v>0</v>
          </cell>
          <cell r="P72">
            <v>0</v>
          </cell>
          <cell r="Q72">
            <v>0</v>
          </cell>
          <cell r="T72">
            <v>0</v>
          </cell>
        </row>
        <row r="73">
          <cell r="A73">
            <v>73</v>
          </cell>
          <cell r="B73" t="str">
            <v>FSU Lab - Leon</v>
          </cell>
          <cell r="C73">
            <v>1</v>
          </cell>
          <cell r="D73">
            <v>1</v>
          </cell>
          <cell r="E73">
            <v>1848.82</v>
          </cell>
          <cell r="G73">
            <v>1848.82</v>
          </cell>
          <cell r="I73">
            <v>1848.82</v>
          </cell>
          <cell r="K73">
            <v>493210</v>
          </cell>
          <cell r="P73">
            <v>0</v>
          </cell>
          <cell r="Q73">
            <v>0</v>
          </cell>
          <cell r="T73">
            <v>0</v>
          </cell>
        </row>
        <row r="74">
          <cell r="A74">
            <v>74</v>
          </cell>
          <cell r="B74" t="str">
            <v>UF Lab School</v>
          </cell>
          <cell r="C74">
            <v>1</v>
          </cell>
          <cell r="D74">
            <v>1</v>
          </cell>
          <cell r="E74">
            <v>1377.5100000000002</v>
          </cell>
          <cell r="G74">
            <v>1372.9700000000003</v>
          </cell>
          <cell r="I74">
            <v>1372.9700000000003</v>
          </cell>
          <cell r="K74">
            <v>304691</v>
          </cell>
          <cell r="P74">
            <v>0</v>
          </cell>
          <cell r="Q74">
            <v>0</v>
          </cell>
          <cell r="T74">
            <v>0</v>
          </cell>
        </row>
        <row r="75">
          <cell r="A75">
            <v>75</v>
          </cell>
          <cell r="B75" t="str">
            <v>Virtual School</v>
          </cell>
          <cell r="C75">
            <v>1</v>
          </cell>
          <cell r="D75">
            <v>1</v>
          </cell>
          <cell r="E75">
            <v>49949.789999999994</v>
          </cell>
          <cell r="G75">
            <v>0</v>
          </cell>
          <cell r="I75">
            <v>0</v>
          </cell>
          <cell r="K75">
            <v>702794</v>
          </cell>
          <cell r="P75">
            <v>0</v>
          </cell>
          <cell r="Q75">
            <v>0</v>
          </cell>
          <cell r="T75">
            <v>0</v>
          </cell>
        </row>
        <row r="76">
          <cell r="A76">
            <v>76</v>
          </cell>
          <cell r="B76" t="str">
            <v>FSU Lab - Bay</v>
          </cell>
          <cell r="C76">
            <v>1</v>
          </cell>
          <cell r="D76">
            <v>1</v>
          </cell>
          <cell r="E76">
            <v>225</v>
          </cell>
          <cell r="G76">
            <v>225</v>
          </cell>
          <cell r="I76">
            <v>225</v>
          </cell>
          <cell r="K76">
            <v>0</v>
          </cell>
          <cell r="P76">
            <v>0</v>
          </cell>
          <cell r="Q76">
            <v>0</v>
          </cell>
        </row>
        <row r="77">
          <cell r="A77">
            <v>77</v>
          </cell>
          <cell r="B77" t="str">
            <v>TCC</v>
          </cell>
          <cell r="C77">
            <v>1</v>
          </cell>
          <cell r="D77">
            <v>1</v>
          </cell>
          <cell r="E77">
            <v>300</v>
          </cell>
          <cell r="G77">
            <v>300</v>
          </cell>
          <cell r="I77">
            <v>300</v>
          </cell>
          <cell r="K77">
            <v>4221</v>
          </cell>
          <cell r="P77">
            <v>0</v>
          </cell>
          <cell r="Q77">
            <v>0</v>
          </cell>
          <cell r="T77">
            <v>0</v>
          </cell>
        </row>
        <row r="78">
          <cell r="B78" t="str">
            <v>Total</v>
          </cell>
          <cell r="E78">
            <v>3170301.0100000002</v>
          </cell>
          <cell r="G78">
            <v>3088012.21</v>
          </cell>
          <cell r="I78">
            <v>2772120.21</v>
          </cell>
          <cell r="K78">
            <v>425723788</v>
          </cell>
          <cell r="P78">
            <v>0</v>
          </cell>
          <cell r="Q78">
            <v>0</v>
          </cell>
        </row>
      </sheetData>
      <sheetData sheetId="2">
        <row r="1">
          <cell r="A1" t="str">
            <v>ESE Funding Based on the 2001-02 Matrix Levels</v>
          </cell>
        </row>
        <row r="2">
          <cell r="D2" t="str">
            <v>Program 111- Grades K-3</v>
          </cell>
          <cell r="G2" t="str">
            <v>Program 112- Grades 4-8</v>
          </cell>
          <cell r="J2" t="str">
            <v>Program 113- Grades 9-12</v>
          </cell>
        </row>
        <row r="3">
          <cell r="D3" t="str">
            <v xml:space="preserve">ESE LEVEL 1
</v>
          </cell>
          <cell r="E3" t="str">
            <v xml:space="preserve">ESE LEVEL 2
</v>
          </cell>
          <cell r="F3" t="str">
            <v>ESE LEVEL 3</v>
          </cell>
          <cell r="G3" t="str">
            <v>ESE LEVEL 1</v>
          </cell>
          <cell r="H3" t="str">
            <v>ESE LEVEL 2</v>
          </cell>
          <cell r="I3" t="str">
            <v>ESE LEVEL 3</v>
          </cell>
          <cell r="J3" t="str">
            <v>ESE LEVEL 1</v>
          </cell>
          <cell r="K3" t="str">
            <v>ESE LEVEL 2</v>
          </cell>
          <cell r="L3" t="str">
            <v>ESE LEVEL 3</v>
          </cell>
        </row>
        <row r="6">
          <cell r="A6">
            <v>1</v>
          </cell>
          <cell r="D6">
            <v>975</v>
          </cell>
          <cell r="E6">
            <v>3147</v>
          </cell>
          <cell r="F6">
            <v>6422</v>
          </cell>
          <cell r="G6">
            <v>1093</v>
          </cell>
          <cell r="H6">
            <v>3265</v>
          </cell>
          <cell r="I6">
            <v>6540</v>
          </cell>
          <cell r="J6">
            <v>778</v>
          </cell>
          <cell r="K6">
            <v>2950</v>
          </cell>
          <cell r="L6">
            <v>6225</v>
          </cell>
        </row>
        <row r="7">
          <cell r="A7">
            <v>2</v>
          </cell>
          <cell r="D7">
            <v>947</v>
          </cell>
          <cell r="E7">
            <v>3058</v>
          </cell>
          <cell r="F7">
            <v>6241</v>
          </cell>
          <cell r="G7">
            <v>1062</v>
          </cell>
          <cell r="H7">
            <v>3173</v>
          </cell>
          <cell r="I7">
            <v>6356</v>
          </cell>
          <cell r="J7">
            <v>756</v>
          </cell>
          <cell r="K7">
            <v>2867</v>
          </cell>
          <cell r="L7">
            <v>6050</v>
          </cell>
        </row>
        <row r="8">
          <cell r="A8">
            <v>3</v>
          </cell>
          <cell r="D8">
            <v>973</v>
          </cell>
          <cell r="E8">
            <v>3143</v>
          </cell>
          <cell r="F8">
            <v>6414</v>
          </cell>
          <cell r="G8">
            <v>1091</v>
          </cell>
          <cell r="H8">
            <v>3261</v>
          </cell>
          <cell r="I8">
            <v>6532</v>
          </cell>
          <cell r="J8">
            <v>777</v>
          </cell>
          <cell r="K8">
            <v>2946</v>
          </cell>
          <cell r="L8">
            <v>6217</v>
          </cell>
        </row>
        <row r="9">
          <cell r="A9">
            <v>4</v>
          </cell>
          <cell r="D9">
            <v>943</v>
          </cell>
          <cell r="E9">
            <v>3046</v>
          </cell>
          <cell r="F9">
            <v>6215</v>
          </cell>
          <cell r="G9">
            <v>1058</v>
          </cell>
          <cell r="H9">
            <v>3160</v>
          </cell>
          <cell r="I9">
            <v>6329</v>
          </cell>
          <cell r="J9">
            <v>753</v>
          </cell>
          <cell r="K9">
            <v>2855</v>
          </cell>
          <cell r="L9">
            <v>6025</v>
          </cell>
        </row>
        <row r="10">
          <cell r="A10">
            <v>5</v>
          </cell>
          <cell r="D10">
            <v>996</v>
          </cell>
          <cell r="E10">
            <v>3217</v>
          </cell>
          <cell r="F10">
            <v>6565</v>
          </cell>
          <cell r="G10">
            <v>1117</v>
          </cell>
          <cell r="H10">
            <v>3338</v>
          </cell>
          <cell r="I10">
            <v>6686</v>
          </cell>
          <cell r="J10">
            <v>795</v>
          </cell>
          <cell r="K10">
            <v>3016</v>
          </cell>
          <cell r="L10">
            <v>6364</v>
          </cell>
        </row>
        <row r="11">
          <cell r="A11">
            <v>6</v>
          </cell>
          <cell r="D11">
            <v>1058</v>
          </cell>
          <cell r="E11">
            <v>3418</v>
          </cell>
          <cell r="F11">
            <v>6974</v>
          </cell>
          <cell r="G11">
            <v>1187</v>
          </cell>
          <cell r="H11">
            <v>3546</v>
          </cell>
          <cell r="I11">
            <v>7102</v>
          </cell>
          <cell r="J11">
            <v>845</v>
          </cell>
          <cell r="K11">
            <v>3204</v>
          </cell>
          <cell r="L11">
            <v>6760</v>
          </cell>
        </row>
        <row r="12">
          <cell r="A12">
            <v>7</v>
          </cell>
          <cell r="D12">
            <v>927</v>
          </cell>
          <cell r="E12">
            <v>2992</v>
          </cell>
          <cell r="F12">
            <v>6105</v>
          </cell>
          <cell r="G12">
            <v>1039</v>
          </cell>
          <cell r="H12">
            <v>3104</v>
          </cell>
          <cell r="I12">
            <v>6218</v>
          </cell>
          <cell r="J12">
            <v>739</v>
          </cell>
          <cell r="K12">
            <v>2805</v>
          </cell>
          <cell r="L12">
            <v>5918</v>
          </cell>
        </row>
        <row r="13">
          <cell r="A13">
            <v>8</v>
          </cell>
          <cell r="D13">
            <v>984</v>
          </cell>
          <cell r="E13">
            <v>3177</v>
          </cell>
          <cell r="F13">
            <v>6483</v>
          </cell>
          <cell r="G13">
            <v>1103</v>
          </cell>
          <cell r="H13">
            <v>3296</v>
          </cell>
          <cell r="I13">
            <v>6602</v>
          </cell>
          <cell r="J13">
            <v>785</v>
          </cell>
          <cell r="K13">
            <v>2978</v>
          </cell>
          <cell r="L13">
            <v>6284</v>
          </cell>
        </row>
        <row r="14">
          <cell r="A14">
            <v>9</v>
          </cell>
          <cell r="D14">
            <v>948</v>
          </cell>
          <cell r="E14">
            <v>3062</v>
          </cell>
          <cell r="F14">
            <v>6249</v>
          </cell>
          <cell r="G14">
            <v>1063</v>
          </cell>
          <cell r="H14">
            <v>3177</v>
          </cell>
          <cell r="I14">
            <v>6364</v>
          </cell>
          <cell r="J14">
            <v>757</v>
          </cell>
          <cell r="K14">
            <v>2870</v>
          </cell>
          <cell r="L14">
            <v>6057</v>
          </cell>
        </row>
        <row r="15">
          <cell r="A15">
            <v>10</v>
          </cell>
          <cell r="D15">
            <v>982</v>
          </cell>
          <cell r="E15">
            <v>3170</v>
          </cell>
          <cell r="F15">
            <v>6470</v>
          </cell>
          <cell r="G15">
            <v>1101</v>
          </cell>
          <cell r="H15">
            <v>3290</v>
          </cell>
          <cell r="I15">
            <v>6589</v>
          </cell>
          <cell r="J15">
            <v>784</v>
          </cell>
          <cell r="K15">
            <v>2972</v>
          </cell>
          <cell r="L15">
            <v>6272</v>
          </cell>
        </row>
        <row r="16">
          <cell r="A16">
            <v>11</v>
          </cell>
          <cell r="D16">
            <v>1024</v>
          </cell>
          <cell r="E16">
            <v>3306</v>
          </cell>
          <cell r="F16">
            <v>6746</v>
          </cell>
          <cell r="G16">
            <v>1148</v>
          </cell>
          <cell r="H16">
            <v>3430</v>
          </cell>
          <cell r="I16">
            <v>6870</v>
          </cell>
          <cell r="J16">
            <v>817</v>
          </cell>
          <cell r="K16">
            <v>3099</v>
          </cell>
          <cell r="L16">
            <v>6539</v>
          </cell>
        </row>
        <row r="17">
          <cell r="A17">
            <v>12</v>
          </cell>
          <cell r="D17">
            <v>947</v>
          </cell>
          <cell r="E17">
            <v>3059</v>
          </cell>
          <cell r="F17">
            <v>6243</v>
          </cell>
          <cell r="G17">
            <v>1062</v>
          </cell>
          <cell r="H17">
            <v>3174</v>
          </cell>
          <cell r="I17">
            <v>6357</v>
          </cell>
          <cell r="J17">
            <v>756</v>
          </cell>
          <cell r="K17">
            <v>2868</v>
          </cell>
          <cell r="L17">
            <v>6051</v>
          </cell>
        </row>
        <row r="18">
          <cell r="A18">
            <v>13</v>
          </cell>
          <cell r="D18">
            <v>1070</v>
          </cell>
          <cell r="E18">
            <v>3455</v>
          </cell>
          <cell r="F18">
            <v>7050</v>
          </cell>
          <cell r="G18">
            <v>1200</v>
          </cell>
          <cell r="H18">
            <v>3584</v>
          </cell>
          <cell r="I18">
            <v>7179</v>
          </cell>
          <cell r="J18">
            <v>854</v>
          </cell>
          <cell r="K18">
            <v>3238</v>
          </cell>
          <cell r="L18">
            <v>6833</v>
          </cell>
        </row>
        <row r="19">
          <cell r="A19">
            <v>14</v>
          </cell>
          <cell r="D19">
            <v>951</v>
          </cell>
          <cell r="E19">
            <v>3070</v>
          </cell>
          <cell r="F19">
            <v>6265</v>
          </cell>
          <cell r="G19">
            <v>1066</v>
          </cell>
          <cell r="H19">
            <v>3185</v>
          </cell>
          <cell r="I19">
            <v>6380</v>
          </cell>
          <cell r="J19">
            <v>759</v>
          </cell>
          <cell r="K19">
            <v>2878</v>
          </cell>
          <cell r="L19">
            <v>6073</v>
          </cell>
        </row>
        <row r="20">
          <cell r="A20">
            <v>15</v>
          </cell>
          <cell r="D20">
            <v>949</v>
          </cell>
          <cell r="E20">
            <v>3065</v>
          </cell>
          <cell r="F20">
            <v>6255</v>
          </cell>
          <cell r="G20">
            <v>1064</v>
          </cell>
          <cell r="H20">
            <v>3180</v>
          </cell>
          <cell r="I20">
            <v>6370</v>
          </cell>
          <cell r="J20">
            <v>758</v>
          </cell>
          <cell r="K20">
            <v>2874</v>
          </cell>
          <cell r="L20">
            <v>6063</v>
          </cell>
        </row>
        <row r="21">
          <cell r="A21">
            <v>16</v>
          </cell>
          <cell r="D21">
            <v>994</v>
          </cell>
          <cell r="E21">
            <v>3209</v>
          </cell>
          <cell r="F21">
            <v>6549</v>
          </cell>
          <cell r="G21">
            <v>1114</v>
          </cell>
          <cell r="H21">
            <v>3330</v>
          </cell>
          <cell r="I21">
            <v>6669</v>
          </cell>
          <cell r="J21">
            <v>793</v>
          </cell>
          <cell r="K21">
            <v>3008</v>
          </cell>
          <cell r="L21">
            <v>6348</v>
          </cell>
        </row>
        <row r="22">
          <cell r="A22">
            <v>17</v>
          </cell>
          <cell r="D22">
            <v>966</v>
          </cell>
          <cell r="E22">
            <v>3118</v>
          </cell>
          <cell r="F22">
            <v>6363</v>
          </cell>
          <cell r="G22">
            <v>1083</v>
          </cell>
          <cell r="H22">
            <v>3235</v>
          </cell>
          <cell r="I22">
            <v>6480</v>
          </cell>
          <cell r="J22">
            <v>771</v>
          </cell>
          <cell r="K22">
            <v>2923</v>
          </cell>
          <cell r="L22">
            <v>6168</v>
          </cell>
        </row>
        <row r="23">
          <cell r="A23">
            <v>18</v>
          </cell>
          <cell r="D23">
            <v>975</v>
          </cell>
          <cell r="E23">
            <v>3148</v>
          </cell>
          <cell r="F23">
            <v>6424</v>
          </cell>
          <cell r="G23">
            <v>1093</v>
          </cell>
          <cell r="H23">
            <v>3266</v>
          </cell>
          <cell r="I23">
            <v>6542</v>
          </cell>
          <cell r="J23">
            <v>778</v>
          </cell>
          <cell r="K23">
            <v>2951</v>
          </cell>
          <cell r="L23">
            <v>6227</v>
          </cell>
        </row>
        <row r="24">
          <cell r="A24">
            <v>19</v>
          </cell>
          <cell r="D24">
            <v>975</v>
          </cell>
          <cell r="E24">
            <v>3149</v>
          </cell>
          <cell r="F24">
            <v>6426</v>
          </cell>
          <cell r="G24">
            <v>1094</v>
          </cell>
          <cell r="H24">
            <v>3267</v>
          </cell>
          <cell r="I24">
            <v>6545</v>
          </cell>
          <cell r="J24">
            <v>778</v>
          </cell>
          <cell r="K24">
            <v>2952</v>
          </cell>
          <cell r="L24">
            <v>6229</v>
          </cell>
        </row>
        <row r="25">
          <cell r="A25">
            <v>20</v>
          </cell>
          <cell r="D25">
            <v>954</v>
          </cell>
          <cell r="E25">
            <v>3080</v>
          </cell>
          <cell r="F25">
            <v>6286</v>
          </cell>
          <cell r="G25">
            <v>1070</v>
          </cell>
          <cell r="H25">
            <v>3196</v>
          </cell>
          <cell r="I25">
            <v>6402</v>
          </cell>
          <cell r="J25">
            <v>761</v>
          </cell>
          <cell r="K25">
            <v>2888</v>
          </cell>
          <cell r="L25">
            <v>6093</v>
          </cell>
        </row>
        <row r="26">
          <cell r="A26">
            <v>21</v>
          </cell>
          <cell r="D26">
            <v>950</v>
          </cell>
          <cell r="E26">
            <v>3068</v>
          </cell>
          <cell r="F26">
            <v>6261</v>
          </cell>
          <cell r="G26">
            <v>1065</v>
          </cell>
          <cell r="H26">
            <v>3183</v>
          </cell>
          <cell r="I26">
            <v>6376</v>
          </cell>
          <cell r="J26">
            <v>758</v>
          </cell>
          <cell r="K26">
            <v>2876</v>
          </cell>
          <cell r="L26">
            <v>6069</v>
          </cell>
        </row>
        <row r="27">
          <cell r="A27">
            <v>22</v>
          </cell>
          <cell r="D27">
            <v>975</v>
          </cell>
          <cell r="E27">
            <v>3149</v>
          </cell>
          <cell r="F27">
            <v>6426</v>
          </cell>
          <cell r="G27">
            <v>1094</v>
          </cell>
          <cell r="H27">
            <v>3267</v>
          </cell>
          <cell r="I27">
            <v>6545</v>
          </cell>
          <cell r="J27">
            <v>778</v>
          </cell>
          <cell r="K27">
            <v>2952</v>
          </cell>
          <cell r="L27">
            <v>6229</v>
          </cell>
        </row>
        <row r="28">
          <cell r="A28">
            <v>23</v>
          </cell>
          <cell r="D28">
            <v>952</v>
          </cell>
          <cell r="E28">
            <v>3075</v>
          </cell>
          <cell r="F28">
            <v>6275</v>
          </cell>
          <cell r="G28">
            <v>1068</v>
          </cell>
          <cell r="H28">
            <v>3190</v>
          </cell>
          <cell r="I28">
            <v>6390</v>
          </cell>
          <cell r="J28">
            <v>760</v>
          </cell>
          <cell r="K28">
            <v>2882</v>
          </cell>
          <cell r="L28">
            <v>6082</v>
          </cell>
        </row>
        <row r="29">
          <cell r="A29">
            <v>24</v>
          </cell>
          <cell r="D29">
            <v>947</v>
          </cell>
          <cell r="E29">
            <v>3059</v>
          </cell>
          <cell r="F29">
            <v>6243</v>
          </cell>
          <cell r="G29">
            <v>1062</v>
          </cell>
          <cell r="H29">
            <v>3174</v>
          </cell>
          <cell r="I29">
            <v>6357</v>
          </cell>
          <cell r="J29">
            <v>756</v>
          </cell>
          <cell r="K29">
            <v>2868</v>
          </cell>
          <cell r="L29">
            <v>6051</v>
          </cell>
        </row>
        <row r="30">
          <cell r="A30">
            <v>25</v>
          </cell>
          <cell r="D30">
            <v>946</v>
          </cell>
          <cell r="E30">
            <v>3054</v>
          </cell>
          <cell r="F30">
            <v>6233</v>
          </cell>
          <cell r="G30">
            <v>1061</v>
          </cell>
          <cell r="H30">
            <v>3169</v>
          </cell>
          <cell r="I30">
            <v>6348</v>
          </cell>
          <cell r="J30">
            <v>755</v>
          </cell>
          <cell r="K30">
            <v>2863</v>
          </cell>
          <cell r="L30">
            <v>6042</v>
          </cell>
        </row>
        <row r="31">
          <cell r="A31">
            <v>26</v>
          </cell>
          <cell r="D31">
            <v>968</v>
          </cell>
          <cell r="E31">
            <v>3125</v>
          </cell>
          <cell r="F31">
            <v>6376</v>
          </cell>
          <cell r="G31">
            <v>1085</v>
          </cell>
          <cell r="H31">
            <v>3242</v>
          </cell>
          <cell r="I31">
            <v>6494</v>
          </cell>
          <cell r="J31">
            <v>772</v>
          </cell>
          <cell r="K31">
            <v>2929</v>
          </cell>
          <cell r="L31">
            <v>6181</v>
          </cell>
        </row>
        <row r="32">
          <cell r="A32">
            <v>27</v>
          </cell>
          <cell r="D32">
            <v>961</v>
          </cell>
          <cell r="E32">
            <v>3102</v>
          </cell>
          <cell r="F32">
            <v>6330</v>
          </cell>
          <cell r="G32">
            <v>1077</v>
          </cell>
          <cell r="H32">
            <v>3218</v>
          </cell>
          <cell r="I32">
            <v>6447</v>
          </cell>
          <cell r="J32">
            <v>767</v>
          </cell>
          <cell r="K32">
            <v>2908</v>
          </cell>
          <cell r="L32">
            <v>6136</v>
          </cell>
        </row>
        <row r="33">
          <cell r="A33">
            <v>28</v>
          </cell>
          <cell r="D33">
            <v>964</v>
          </cell>
          <cell r="E33">
            <v>3114</v>
          </cell>
          <cell r="F33">
            <v>6355</v>
          </cell>
          <cell r="G33">
            <v>1081</v>
          </cell>
          <cell r="H33">
            <v>3231</v>
          </cell>
          <cell r="I33">
            <v>6472</v>
          </cell>
          <cell r="J33">
            <v>770</v>
          </cell>
          <cell r="K33">
            <v>2919</v>
          </cell>
          <cell r="L33">
            <v>6160</v>
          </cell>
        </row>
        <row r="34">
          <cell r="A34">
            <v>29</v>
          </cell>
          <cell r="D34">
            <v>1016</v>
          </cell>
          <cell r="E34">
            <v>3282</v>
          </cell>
          <cell r="F34">
            <v>6697</v>
          </cell>
          <cell r="G34">
            <v>1139</v>
          </cell>
          <cell r="H34">
            <v>3405</v>
          </cell>
          <cell r="I34">
            <v>6820</v>
          </cell>
          <cell r="J34">
            <v>811</v>
          </cell>
          <cell r="K34">
            <v>3076</v>
          </cell>
          <cell r="L34">
            <v>6491</v>
          </cell>
        </row>
        <row r="35">
          <cell r="A35">
            <v>30</v>
          </cell>
          <cell r="D35">
            <v>946</v>
          </cell>
          <cell r="E35">
            <v>3056</v>
          </cell>
          <cell r="F35">
            <v>6237</v>
          </cell>
          <cell r="G35">
            <v>1061</v>
          </cell>
          <cell r="H35">
            <v>3171</v>
          </cell>
          <cell r="I35">
            <v>6351</v>
          </cell>
          <cell r="J35">
            <v>755</v>
          </cell>
          <cell r="K35">
            <v>2865</v>
          </cell>
          <cell r="L35">
            <v>6045</v>
          </cell>
        </row>
        <row r="36">
          <cell r="A36">
            <v>31</v>
          </cell>
          <cell r="D36">
            <v>999</v>
          </cell>
          <cell r="E36">
            <v>3227</v>
          </cell>
          <cell r="F36">
            <v>6586</v>
          </cell>
          <cell r="G36">
            <v>1121</v>
          </cell>
          <cell r="H36">
            <v>3348</v>
          </cell>
          <cell r="I36">
            <v>6707</v>
          </cell>
          <cell r="J36">
            <v>798</v>
          </cell>
          <cell r="K36">
            <v>3025</v>
          </cell>
          <cell r="L36">
            <v>6384</v>
          </cell>
        </row>
        <row r="37">
          <cell r="A37">
            <v>32</v>
          </cell>
          <cell r="D37">
            <v>934</v>
          </cell>
          <cell r="E37">
            <v>3015</v>
          </cell>
          <cell r="F37">
            <v>6154</v>
          </cell>
          <cell r="G37">
            <v>1047</v>
          </cell>
          <cell r="H37">
            <v>3129</v>
          </cell>
          <cell r="I37">
            <v>6267</v>
          </cell>
          <cell r="J37">
            <v>745</v>
          </cell>
          <cell r="K37">
            <v>2827</v>
          </cell>
          <cell r="L37">
            <v>5965</v>
          </cell>
        </row>
        <row r="38">
          <cell r="A38">
            <v>33</v>
          </cell>
          <cell r="D38">
            <v>969</v>
          </cell>
          <cell r="E38">
            <v>3129</v>
          </cell>
          <cell r="F38">
            <v>6385</v>
          </cell>
          <cell r="G38">
            <v>1086</v>
          </cell>
          <cell r="H38">
            <v>3246</v>
          </cell>
          <cell r="I38">
            <v>6502</v>
          </cell>
          <cell r="J38">
            <v>773</v>
          </cell>
          <cell r="K38">
            <v>2933</v>
          </cell>
          <cell r="L38">
            <v>6189</v>
          </cell>
        </row>
        <row r="39">
          <cell r="A39">
            <v>34</v>
          </cell>
          <cell r="D39">
            <v>952</v>
          </cell>
          <cell r="E39">
            <v>3074</v>
          </cell>
          <cell r="F39">
            <v>6273</v>
          </cell>
          <cell r="G39">
            <v>1067</v>
          </cell>
          <cell r="H39">
            <v>3190</v>
          </cell>
          <cell r="I39">
            <v>6389</v>
          </cell>
          <cell r="J39">
            <v>760</v>
          </cell>
          <cell r="K39">
            <v>2882</v>
          </cell>
          <cell r="L39">
            <v>6081</v>
          </cell>
        </row>
        <row r="40">
          <cell r="A40">
            <v>35</v>
          </cell>
          <cell r="D40">
            <v>974</v>
          </cell>
          <cell r="E40">
            <v>3144</v>
          </cell>
          <cell r="F40">
            <v>6416</v>
          </cell>
          <cell r="G40">
            <v>1092</v>
          </cell>
          <cell r="H40">
            <v>3262</v>
          </cell>
          <cell r="I40">
            <v>6534</v>
          </cell>
          <cell r="J40">
            <v>777</v>
          </cell>
          <cell r="K40">
            <v>2947</v>
          </cell>
          <cell r="L40">
            <v>6219</v>
          </cell>
        </row>
        <row r="41">
          <cell r="A41">
            <v>36</v>
          </cell>
          <cell r="D41">
            <v>992</v>
          </cell>
          <cell r="E41">
            <v>3203</v>
          </cell>
          <cell r="F41">
            <v>6535</v>
          </cell>
          <cell r="G41">
            <v>1112</v>
          </cell>
          <cell r="H41">
            <v>3323</v>
          </cell>
          <cell r="I41">
            <v>6656</v>
          </cell>
          <cell r="J41">
            <v>791</v>
          </cell>
          <cell r="K41">
            <v>3002</v>
          </cell>
          <cell r="L41">
            <v>6335</v>
          </cell>
        </row>
        <row r="42">
          <cell r="A42">
            <v>37</v>
          </cell>
          <cell r="D42">
            <v>986</v>
          </cell>
          <cell r="E42">
            <v>3184</v>
          </cell>
          <cell r="F42">
            <v>6498</v>
          </cell>
          <cell r="G42">
            <v>1106</v>
          </cell>
          <cell r="H42">
            <v>3304</v>
          </cell>
          <cell r="I42">
            <v>6618</v>
          </cell>
          <cell r="J42">
            <v>787</v>
          </cell>
          <cell r="K42">
            <v>2985</v>
          </cell>
          <cell r="L42">
            <v>6299</v>
          </cell>
        </row>
        <row r="43">
          <cell r="A43">
            <v>38</v>
          </cell>
          <cell r="D43">
            <v>946</v>
          </cell>
          <cell r="E43">
            <v>3054</v>
          </cell>
          <cell r="F43">
            <v>6231</v>
          </cell>
          <cell r="G43">
            <v>1060</v>
          </cell>
          <cell r="H43">
            <v>3168</v>
          </cell>
          <cell r="I43">
            <v>6346</v>
          </cell>
          <cell r="J43">
            <v>755</v>
          </cell>
          <cell r="K43">
            <v>2862</v>
          </cell>
          <cell r="L43">
            <v>6040</v>
          </cell>
        </row>
        <row r="44">
          <cell r="A44">
            <v>39</v>
          </cell>
          <cell r="D44">
            <v>942</v>
          </cell>
          <cell r="E44">
            <v>3042</v>
          </cell>
          <cell r="F44">
            <v>6208</v>
          </cell>
          <cell r="G44">
            <v>1056</v>
          </cell>
          <cell r="H44">
            <v>3156</v>
          </cell>
          <cell r="I44">
            <v>6322</v>
          </cell>
          <cell r="J44">
            <v>752</v>
          </cell>
          <cell r="K44">
            <v>2852</v>
          </cell>
          <cell r="L44">
            <v>6017</v>
          </cell>
        </row>
        <row r="45">
          <cell r="A45">
            <v>40</v>
          </cell>
          <cell r="D45">
            <v>950</v>
          </cell>
          <cell r="E45">
            <v>3068</v>
          </cell>
          <cell r="F45">
            <v>6261</v>
          </cell>
          <cell r="G45">
            <v>1065</v>
          </cell>
          <cell r="H45">
            <v>3183</v>
          </cell>
          <cell r="I45">
            <v>6376</v>
          </cell>
          <cell r="J45">
            <v>758</v>
          </cell>
          <cell r="K45">
            <v>2876</v>
          </cell>
          <cell r="L45">
            <v>6069</v>
          </cell>
        </row>
        <row r="46">
          <cell r="A46">
            <v>41</v>
          </cell>
          <cell r="D46">
            <v>1011</v>
          </cell>
          <cell r="E46">
            <v>3266</v>
          </cell>
          <cell r="F46">
            <v>6664</v>
          </cell>
          <cell r="G46">
            <v>1134</v>
          </cell>
          <cell r="H46">
            <v>3388</v>
          </cell>
          <cell r="I46">
            <v>6787</v>
          </cell>
          <cell r="J46">
            <v>807</v>
          </cell>
          <cell r="K46">
            <v>3062</v>
          </cell>
          <cell r="L46">
            <v>6460</v>
          </cell>
        </row>
        <row r="47">
          <cell r="A47">
            <v>42</v>
          </cell>
          <cell r="D47">
            <v>962</v>
          </cell>
          <cell r="E47">
            <v>3107</v>
          </cell>
          <cell r="F47">
            <v>6341</v>
          </cell>
          <cell r="G47">
            <v>1079</v>
          </cell>
          <cell r="H47">
            <v>3224</v>
          </cell>
          <cell r="I47">
            <v>6457</v>
          </cell>
          <cell r="J47">
            <v>768</v>
          </cell>
          <cell r="K47">
            <v>2913</v>
          </cell>
          <cell r="L47">
            <v>6146</v>
          </cell>
        </row>
        <row r="48">
          <cell r="A48">
            <v>43</v>
          </cell>
          <cell r="D48">
            <v>1008</v>
          </cell>
          <cell r="E48">
            <v>3255</v>
          </cell>
          <cell r="F48">
            <v>6643</v>
          </cell>
          <cell r="G48">
            <v>1130</v>
          </cell>
          <cell r="H48">
            <v>3378</v>
          </cell>
          <cell r="I48">
            <v>6765</v>
          </cell>
          <cell r="J48">
            <v>805</v>
          </cell>
          <cell r="K48">
            <v>3052</v>
          </cell>
          <cell r="L48">
            <v>6439</v>
          </cell>
        </row>
        <row r="49">
          <cell r="A49">
            <v>44</v>
          </cell>
          <cell r="D49">
            <v>1098</v>
          </cell>
          <cell r="E49">
            <v>3545</v>
          </cell>
          <cell r="F49">
            <v>7233</v>
          </cell>
          <cell r="G49">
            <v>1231</v>
          </cell>
          <cell r="H49">
            <v>3678</v>
          </cell>
          <cell r="I49">
            <v>7367</v>
          </cell>
          <cell r="J49">
            <v>876</v>
          </cell>
          <cell r="K49">
            <v>3323</v>
          </cell>
          <cell r="L49">
            <v>7012</v>
          </cell>
        </row>
        <row r="50">
          <cell r="A50">
            <v>45</v>
          </cell>
          <cell r="D50">
            <v>964</v>
          </cell>
          <cell r="E50">
            <v>3112</v>
          </cell>
          <cell r="F50">
            <v>6351</v>
          </cell>
          <cell r="G50">
            <v>1081</v>
          </cell>
          <cell r="H50">
            <v>3229</v>
          </cell>
          <cell r="I50">
            <v>6468</v>
          </cell>
          <cell r="J50">
            <v>769</v>
          </cell>
          <cell r="K50">
            <v>2917</v>
          </cell>
          <cell r="L50">
            <v>6156</v>
          </cell>
        </row>
        <row r="51">
          <cell r="A51">
            <v>46</v>
          </cell>
          <cell r="D51">
            <v>977</v>
          </cell>
          <cell r="E51">
            <v>3154</v>
          </cell>
          <cell r="F51">
            <v>6437</v>
          </cell>
          <cell r="G51">
            <v>1095</v>
          </cell>
          <cell r="H51">
            <v>3273</v>
          </cell>
          <cell r="I51">
            <v>6556</v>
          </cell>
          <cell r="J51">
            <v>780</v>
          </cell>
          <cell r="K51">
            <v>2957</v>
          </cell>
          <cell r="L51">
            <v>6240</v>
          </cell>
        </row>
        <row r="52">
          <cell r="A52">
            <v>47</v>
          </cell>
          <cell r="D52">
            <v>973</v>
          </cell>
          <cell r="E52">
            <v>3142</v>
          </cell>
          <cell r="F52">
            <v>6412</v>
          </cell>
          <cell r="G52">
            <v>1091</v>
          </cell>
          <cell r="H52">
            <v>3260</v>
          </cell>
          <cell r="I52">
            <v>6530</v>
          </cell>
          <cell r="J52">
            <v>777</v>
          </cell>
          <cell r="K52">
            <v>2946</v>
          </cell>
          <cell r="L52">
            <v>6216</v>
          </cell>
        </row>
        <row r="53">
          <cell r="A53">
            <v>48</v>
          </cell>
          <cell r="D53">
            <v>1015</v>
          </cell>
          <cell r="E53">
            <v>3278</v>
          </cell>
          <cell r="F53">
            <v>6689</v>
          </cell>
          <cell r="G53">
            <v>1138</v>
          </cell>
          <cell r="H53">
            <v>3401</v>
          </cell>
          <cell r="I53">
            <v>6812</v>
          </cell>
          <cell r="J53">
            <v>810</v>
          </cell>
          <cell r="K53">
            <v>3073</v>
          </cell>
          <cell r="L53">
            <v>6483</v>
          </cell>
        </row>
        <row r="54">
          <cell r="A54">
            <v>49</v>
          </cell>
          <cell r="D54">
            <v>982</v>
          </cell>
          <cell r="E54">
            <v>3170</v>
          </cell>
          <cell r="F54">
            <v>6470</v>
          </cell>
          <cell r="G54">
            <v>1101</v>
          </cell>
          <cell r="H54">
            <v>3290</v>
          </cell>
          <cell r="I54">
            <v>6589</v>
          </cell>
          <cell r="J54">
            <v>784</v>
          </cell>
          <cell r="K54">
            <v>2972</v>
          </cell>
          <cell r="L54">
            <v>6272</v>
          </cell>
        </row>
        <row r="55">
          <cell r="A55">
            <v>50</v>
          </cell>
          <cell r="D55">
            <v>1047</v>
          </cell>
          <cell r="E55">
            <v>3380</v>
          </cell>
          <cell r="F55">
            <v>6896</v>
          </cell>
          <cell r="G55">
            <v>1173</v>
          </cell>
          <cell r="H55">
            <v>3506</v>
          </cell>
          <cell r="I55">
            <v>7023</v>
          </cell>
          <cell r="J55">
            <v>835</v>
          </cell>
          <cell r="K55">
            <v>3168</v>
          </cell>
          <cell r="L55">
            <v>6685</v>
          </cell>
        </row>
        <row r="56">
          <cell r="A56">
            <v>51</v>
          </cell>
          <cell r="D56">
            <v>974</v>
          </cell>
          <cell r="E56">
            <v>3145</v>
          </cell>
          <cell r="F56">
            <v>6418</v>
          </cell>
          <cell r="G56">
            <v>1092</v>
          </cell>
          <cell r="H56">
            <v>3263</v>
          </cell>
          <cell r="I56">
            <v>6536</v>
          </cell>
          <cell r="J56">
            <v>777</v>
          </cell>
          <cell r="K56">
            <v>2948</v>
          </cell>
          <cell r="L56">
            <v>6221</v>
          </cell>
        </row>
        <row r="57">
          <cell r="A57">
            <v>52</v>
          </cell>
          <cell r="D57">
            <v>1039</v>
          </cell>
          <cell r="E57">
            <v>3355</v>
          </cell>
          <cell r="F57">
            <v>6847</v>
          </cell>
          <cell r="G57">
            <v>1165</v>
          </cell>
          <cell r="H57">
            <v>3481</v>
          </cell>
          <cell r="I57">
            <v>6973</v>
          </cell>
          <cell r="J57">
            <v>829</v>
          </cell>
          <cell r="K57">
            <v>3145</v>
          </cell>
          <cell r="L57">
            <v>6637</v>
          </cell>
        </row>
        <row r="58">
          <cell r="A58">
            <v>53</v>
          </cell>
          <cell r="D58">
            <v>978</v>
          </cell>
          <cell r="E58">
            <v>3159</v>
          </cell>
          <cell r="F58">
            <v>6446</v>
          </cell>
          <cell r="G58">
            <v>1097</v>
          </cell>
          <cell r="H58">
            <v>3278</v>
          </cell>
          <cell r="I58">
            <v>6565</v>
          </cell>
          <cell r="J58">
            <v>781</v>
          </cell>
          <cell r="K58">
            <v>2961</v>
          </cell>
          <cell r="L58">
            <v>6249</v>
          </cell>
        </row>
        <row r="59">
          <cell r="A59">
            <v>54</v>
          </cell>
          <cell r="D59">
            <v>954</v>
          </cell>
          <cell r="E59">
            <v>3079</v>
          </cell>
          <cell r="F59">
            <v>6283</v>
          </cell>
          <cell r="G59">
            <v>1069</v>
          </cell>
          <cell r="H59">
            <v>3195</v>
          </cell>
          <cell r="I59">
            <v>6399</v>
          </cell>
          <cell r="J59">
            <v>761</v>
          </cell>
          <cell r="K59">
            <v>2886</v>
          </cell>
          <cell r="L59">
            <v>6091</v>
          </cell>
        </row>
        <row r="60">
          <cell r="A60">
            <v>55</v>
          </cell>
          <cell r="D60">
            <v>994</v>
          </cell>
          <cell r="E60">
            <v>3208</v>
          </cell>
          <cell r="F60">
            <v>6547</v>
          </cell>
          <cell r="G60">
            <v>1114</v>
          </cell>
          <cell r="H60">
            <v>3329</v>
          </cell>
          <cell r="I60">
            <v>6668</v>
          </cell>
          <cell r="J60">
            <v>793</v>
          </cell>
          <cell r="K60">
            <v>3008</v>
          </cell>
          <cell r="L60">
            <v>6347</v>
          </cell>
        </row>
        <row r="61">
          <cell r="A61">
            <v>56</v>
          </cell>
          <cell r="D61">
            <v>978</v>
          </cell>
          <cell r="E61">
            <v>3158</v>
          </cell>
          <cell r="F61">
            <v>6444</v>
          </cell>
          <cell r="G61">
            <v>1097</v>
          </cell>
          <cell r="H61">
            <v>3277</v>
          </cell>
          <cell r="I61">
            <v>6563</v>
          </cell>
          <cell r="J61">
            <v>780</v>
          </cell>
          <cell r="K61">
            <v>2960</v>
          </cell>
          <cell r="L61">
            <v>6247</v>
          </cell>
        </row>
        <row r="62">
          <cell r="A62">
            <v>57</v>
          </cell>
          <cell r="D62">
            <v>952</v>
          </cell>
          <cell r="E62">
            <v>3074</v>
          </cell>
          <cell r="F62">
            <v>6273</v>
          </cell>
          <cell r="G62">
            <v>1067</v>
          </cell>
          <cell r="H62">
            <v>3190</v>
          </cell>
          <cell r="I62">
            <v>6389</v>
          </cell>
          <cell r="J62">
            <v>760</v>
          </cell>
          <cell r="K62">
            <v>2882</v>
          </cell>
          <cell r="L62">
            <v>6081</v>
          </cell>
        </row>
        <row r="63">
          <cell r="A63">
            <v>58</v>
          </cell>
          <cell r="D63">
            <v>1028</v>
          </cell>
          <cell r="E63">
            <v>3318</v>
          </cell>
          <cell r="F63">
            <v>6771</v>
          </cell>
          <cell r="G63">
            <v>1152</v>
          </cell>
          <cell r="H63">
            <v>3442</v>
          </cell>
          <cell r="I63">
            <v>6895</v>
          </cell>
          <cell r="J63">
            <v>820</v>
          </cell>
          <cell r="K63">
            <v>3110</v>
          </cell>
          <cell r="L63">
            <v>6563</v>
          </cell>
        </row>
        <row r="64">
          <cell r="A64">
            <v>59</v>
          </cell>
          <cell r="D64">
            <v>1009</v>
          </cell>
          <cell r="E64">
            <v>3258</v>
          </cell>
          <cell r="F64">
            <v>6648</v>
          </cell>
          <cell r="G64">
            <v>1131</v>
          </cell>
          <cell r="H64">
            <v>3380</v>
          </cell>
          <cell r="I64">
            <v>6771</v>
          </cell>
          <cell r="J64">
            <v>805</v>
          </cell>
          <cell r="K64">
            <v>3054</v>
          </cell>
          <cell r="L64">
            <v>6445</v>
          </cell>
        </row>
        <row r="65">
          <cell r="A65">
            <v>60</v>
          </cell>
          <cell r="D65">
            <v>936</v>
          </cell>
          <cell r="E65">
            <v>3021</v>
          </cell>
          <cell r="F65">
            <v>6164</v>
          </cell>
          <cell r="G65">
            <v>1049</v>
          </cell>
          <cell r="H65">
            <v>3134</v>
          </cell>
          <cell r="I65">
            <v>6278</v>
          </cell>
          <cell r="J65">
            <v>747</v>
          </cell>
          <cell r="K65">
            <v>2832</v>
          </cell>
          <cell r="L65">
            <v>5975</v>
          </cell>
        </row>
        <row r="66">
          <cell r="A66">
            <v>61</v>
          </cell>
          <cell r="D66">
            <v>943</v>
          </cell>
          <cell r="E66">
            <v>3045</v>
          </cell>
          <cell r="F66">
            <v>6214</v>
          </cell>
          <cell r="G66">
            <v>1057</v>
          </cell>
          <cell r="H66">
            <v>3159</v>
          </cell>
          <cell r="I66">
            <v>6328</v>
          </cell>
          <cell r="J66">
            <v>753</v>
          </cell>
          <cell r="K66">
            <v>2854</v>
          </cell>
          <cell r="L66">
            <v>6023</v>
          </cell>
        </row>
        <row r="67">
          <cell r="A67">
            <v>62</v>
          </cell>
          <cell r="D67">
            <v>964</v>
          </cell>
          <cell r="E67">
            <v>3112</v>
          </cell>
          <cell r="F67">
            <v>6352</v>
          </cell>
          <cell r="G67">
            <v>1081</v>
          </cell>
          <cell r="H67">
            <v>3229</v>
          </cell>
          <cell r="I67">
            <v>6468</v>
          </cell>
          <cell r="J67">
            <v>769</v>
          </cell>
          <cell r="K67">
            <v>2918</v>
          </cell>
          <cell r="L67">
            <v>6157</v>
          </cell>
        </row>
        <row r="68">
          <cell r="A68">
            <v>63</v>
          </cell>
          <cell r="D68">
            <v>945</v>
          </cell>
          <cell r="E68">
            <v>3052</v>
          </cell>
          <cell r="F68">
            <v>6228</v>
          </cell>
          <cell r="G68">
            <v>1060</v>
          </cell>
          <cell r="H68">
            <v>3166</v>
          </cell>
          <cell r="I68">
            <v>6342</v>
          </cell>
          <cell r="J68">
            <v>754</v>
          </cell>
          <cell r="K68">
            <v>2861</v>
          </cell>
          <cell r="L68">
            <v>6037</v>
          </cell>
        </row>
        <row r="69">
          <cell r="A69">
            <v>64</v>
          </cell>
          <cell r="D69">
            <v>979</v>
          </cell>
          <cell r="E69">
            <v>3161</v>
          </cell>
          <cell r="F69">
            <v>6451</v>
          </cell>
          <cell r="G69">
            <v>1098</v>
          </cell>
          <cell r="H69">
            <v>3280</v>
          </cell>
          <cell r="I69">
            <v>6569</v>
          </cell>
          <cell r="J69">
            <v>781</v>
          </cell>
          <cell r="K69">
            <v>2963</v>
          </cell>
          <cell r="L69">
            <v>6253</v>
          </cell>
        </row>
        <row r="70">
          <cell r="A70">
            <v>65</v>
          </cell>
          <cell r="D70">
            <v>957</v>
          </cell>
          <cell r="E70">
            <v>3090</v>
          </cell>
          <cell r="F70">
            <v>6305</v>
          </cell>
          <cell r="G70">
            <v>1073</v>
          </cell>
          <cell r="H70">
            <v>3206</v>
          </cell>
          <cell r="I70">
            <v>6421</v>
          </cell>
          <cell r="J70">
            <v>764</v>
          </cell>
          <cell r="K70">
            <v>2897</v>
          </cell>
          <cell r="L70">
            <v>6112</v>
          </cell>
        </row>
        <row r="71">
          <cell r="A71">
            <v>66</v>
          </cell>
          <cell r="D71">
            <v>951</v>
          </cell>
          <cell r="E71">
            <v>3071</v>
          </cell>
          <cell r="F71">
            <v>6267</v>
          </cell>
          <cell r="G71">
            <v>1066</v>
          </cell>
          <cell r="H71">
            <v>3186</v>
          </cell>
          <cell r="I71">
            <v>6382</v>
          </cell>
          <cell r="J71">
            <v>759</v>
          </cell>
          <cell r="K71">
            <v>2879</v>
          </cell>
          <cell r="L71">
            <v>6074</v>
          </cell>
        </row>
        <row r="72">
          <cell r="A72">
            <v>67</v>
          </cell>
          <cell r="D72">
            <v>923</v>
          </cell>
          <cell r="E72">
            <v>2981</v>
          </cell>
          <cell r="F72">
            <v>6083</v>
          </cell>
          <cell r="G72">
            <v>1035</v>
          </cell>
          <cell r="H72">
            <v>3093</v>
          </cell>
          <cell r="I72">
            <v>6195</v>
          </cell>
          <cell r="J72">
            <v>737</v>
          </cell>
          <cell r="K72">
            <v>2794</v>
          </cell>
          <cell r="L72">
            <v>5896</v>
          </cell>
        </row>
        <row r="73">
          <cell r="A73">
            <v>68</v>
          </cell>
          <cell r="D73">
            <v>923</v>
          </cell>
          <cell r="E73">
            <v>2981</v>
          </cell>
          <cell r="F73">
            <v>6083</v>
          </cell>
          <cell r="G73">
            <v>1035</v>
          </cell>
          <cell r="H73">
            <v>3093</v>
          </cell>
          <cell r="I73">
            <v>6195</v>
          </cell>
          <cell r="J73">
            <v>737</v>
          </cell>
          <cell r="K73">
            <v>2794</v>
          </cell>
          <cell r="L73">
            <v>5896</v>
          </cell>
        </row>
        <row r="74">
          <cell r="A74">
            <v>69</v>
          </cell>
          <cell r="D74">
            <v>986</v>
          </cell>
          <cell r="E74">
            <v>3184</v>
          </cell>
          <cell r="F74">
            <v>6498</v>
          </cell>
          <cell r="G74">
            <v>1106</v>
          </cell>
          <cell r="H74">
            <v>3304</v>
          </cell>
          <cell r="I74">
            <v>6618</v>
          </cell>
          <cell r="J74">
            <v>787</v>
          </cell>
          <cell r="K74">
            <v>2985</v>
          </cell>
          <cell r="L74">
            <v>6299</v>
          </cell>
        </row>
        <row r="75">
          <cell r="A75">
            <v>70</v>
          </cell>
          <cell r="D75">
            <v>1047</v>
          </cell>
          <cell r="E75">
            <v>3380</v>
          </cell>
          <cell r="F75">
            <v>6896</v>
          </cell>
          <cell r="G75">
            <v>1173</v>
          </cell>
          <cell r="H75">
            <v>3506</v>
          </cell>
          <cell r="I75">
            <v>7023</v>
          </cell>
          <cell r="J75">
            <v>835</v>
          </cell>
          <cell r="K75">
            <v>3168</v>
          </cell>
          <cell r="L75">
            <v>6685</v>
          </cell>
        </row>
        <row r="76">
          <cell r="A76">
            <v>71</v>
          </cell>
          <cell r="D76">
            <v>978</v>
          </cell>
          <cell r="E76">
            <v>3158</v>
          </cell>
          <cell r="F76">
            <v>6444</v>
          </cell>
          <cell r="G76">
            <v>1097</v>
          </cell>
          <cell r="H76">
            <v>3277</v>
          </cell>
          <cell r="I76">
            <v>6563</v>
          </cell>
          <cell r="J76">
            <v>780</v>
          </cell>
          <cell r="K76">
            <v>2960</v>
          </cell>
          <cell r="L76">
            <v>6247</v>
          </cell>
        </row>
        <row r="77">
          <cell r="A77">
            <v>72</v>
          </cell>
          <cell r="D77">
            <v>1058</v>
          </cell>
          <cell r="E77">
            <v>3418</v>
          </cell>
          <cell r="F77">
            <v>6974</v>
          </cell>
          <cell r="G77">
            <v>1187</v>
          </cell>
          <cell r="H77">
            <v>3546</v>
          </cell>
          <cell r="I77">
            <v>7102</v>
          </cell>
          <cell r="J77">
            <v>845</v>
          </cell>
          <cell r="K77">
            <v>3204</v>
          </cell>
          <cell r="L77">
            <v>6760</v>
          </cell>
        </row>
        <row r="78">
          <cell r="A78">
            <v>73</v>
          </cell>
          <cell r="D78">
            <v>986</v>
          </cell>
          <cell r="E78">
            <v>3184</v>
          </cell>
          <cell r="F78">
            <v>6498</v>
          </cell>
          <cell r="G78">
            <v>1106</v>
          </cell>
          <cell r="H78">
            <v>3304</v>
          </cell>
          <cell r="I78">
            <v>6618</v>
          </cell>
          <cell r="J78">
            <v>787</v>
          </cell>
          <cell r="K78">
            <v>2985</v>
          </cell>
          <cell r="L78">
            <v>6299</v>
          </cell>
        </row>
        <row r="79">
          <cell r="A79">
            <v>74</v>
          </cell>
          <cell r="D79">
            <v>975</v>
          </cell>
          <cell r="E79">
            <v>3147</v>
          </cell>
          <cell r="F79">
            <v>6422</v>
          </cell>
          <cell r="G79">
            <v>1093</v>
          </cell>
          <cell r="H79">
            <v>3265</v>
          </cell>
          <cell r="I79">
            <v>6540</v>
          </cell>
          <cell r="J79">
            <v>778</v>
          </cell>
          <cell r="K79">
            <v>2950</v>
          </cell>
          <cell r="L79">
            <v>6225</v>
          </cell>
        </row>
        <row r="80">
          <cell r="A80">
            <v>75</v>
          </cell>
          <cell r="D80">
            <v>1015</v>
          </cell>
          <cell r="E80">
            <v>3277</v>
          </cell>
          <cell r="F80">
            <v>6687</v>
          </cell>
          <cell r="G80">
            <v>1138</v>
          </cell>
          <cell r="H80">
            <v>3400</v>
          </cell>
          <cell r="I80">
            <v>6810</v>
          </cell>
          <cell r="J80">
            <v>810</v>
          </cell>
          <cell r="K80">
            <v>3072</v>
          </cell>
          <cell r="L80">
            <v>6482</v>
          </cell>
        </row>
      </sheetData>
      <sheetData sheetId="3">
        <row r="2">
          <cell r="B2" t="str">
            <v>2024-25 Transportation Calculation</v>
          </cell>
        </row>
        <row r="3">
          <cell r="B3" t="str">
            <v>Funding Per Student</v>
          </cell>
        </row>
        <row r="6">
          <cell r="F6" t="str">
            <v xml:space="preserve">Allocation </v>
          </cell>
        </row>
        <row r="7">
          <cell r="F7" t="str">
            <v>per Base</v>
          </cell>
        </row>
        <row r="8">
          <cell r="F8" t="str">
            <v>Student</v>
          </cell>
        </row>
        <row r="9">
          <cell r="F9" t="str">
            <v>-3-</v>
          </cell>
        </row>
        <row r="10">
          <cell r="B10">
            <v>1</v>
          </cell>
          <cell r="F10">
            <v>571</v>
          </cell>
        </row>
        <row r="11">
          <cell r="B11">
            <v>2</v>
          </cell>
          <cell r="F11">
            <v>621</v>
          </cell>
        </row>
        <row r="12">
          <cell r="B12">
            <v>3</v>
          </cell>
          <cell r="F12">
            <v>555</v>
          </cell>
        </row>
        <row r="13">
          <cell r="B13">
            <v>4</v>
          </cell>
          <cell r="F13">
            <v>581</v>
          </cell>
        </row>
        <row r="14">
          <cell r="B14">
            <v>5</v>
          </cell>
          <cell r="F14">
            <v>562</v>
          </cell>
        </row>
        <row r="15">
          <cell r="B15">
            <v>6</v>
          </cell>
          <cell r="F15">
            <v>543</v>
          </cell>
        </row>
        <row r="16">
          <cell r="B16">
            <v>7</v>
          </cell>
          <cell r="F16">
            <v>566</v>
          </cell>
        </row>
        <row r="17">
          <cell r="B17">
            <v>8</v>
          </cell>
          <cell r="F17">
            <v>553</v>
          </cell>
        </row>
        <row r="18">
          <cell r="B18">
            <v>9</v>
          </cell>
          <cell r="F18">
            <v>577</v>
          </cell>
        </row>
        <row r="19">
          <cell r="B19">
            <v>10</v>
          </cell>
          <cell r="F19">
            <v>574</v>
          </cell>
        </row>
        <row r="20">
          <cell r="B20">
            <v>11</v>
          </cell>
          <cell r="F20">
            <v>552</v>
          </cell>
        </row>
        <row r="21">
          <cell r="B21">
            <v>12</v>
          </cell>
          <cell r="F21">
            <v>606</v>
          </cell>
        </row>
        <row r="22">
          <cell r="B22">
            <v>13</v>
          </cell>
          <cell r="F22">
            <v>515</v>
          </cell>
        </row>
        <row r="23">
          <cell r="B23">
            <v>14</v>
          </cell>
          <cell r="F23">
            <v>570</v>
          </cell>
        </row>
        <row r="24">
          <cell r="B24">
            <v>15</v>
          </cell>
          <cell r="F24">
            <v>581</v>
          </cell>
        </row>
        <row r="25">
          <cell r="B25">
            <v>16</v>
          </cell>
          <cell r="F25">
            <v>524</v>
          </cell>
        </row>
        <row r="26">
          <cell r="B26">
            <v>17</v>
          </cell>
          <cell r="F26">
            <v>558</v>
          </cell>
        </row>
        <row r="27">
          <cell r="B27">
            <v>18</v>
          </cell>
          <cell r="F27">
            <v>562</v>
          </cell>
        </row>
        <row r="28">
          <cell r="B28">
            <v>19</v>
          </cell>
          <cell r="F28">
            <v>596</v>
          </cell>
        </row>
        <row r="29">
          <cell r="B29">
            <v>20</v>
          </cell>
          <cell r="F29">
            <v>590</v>
          </cell>
        </row>
        <row r="30">
          <cell r="B30">
            <v>21</v>
          </cell>
          <cell r="F30">
            <v>608</v>
          </cell>
        </row>
        <row r="31">
          <cell r="B31">
            <v>22</v>
          </cell>
          <cell r="F31">
            <v>581</v>
          </cell>
        </row>
        <row r="32">
          <cell r="B32">
            <v>23</v>
          </cell>
          <cell r="F32">
            <v>586</v>
          </cell>
        </row>
        <row r="33">
          <cell r="B33">
            <v>24</v>
          </cell>
          <cell r="F33">
            <v>599</v>
          </cell>
        </row>
        <row r="34">
          <cell r="B34">
            <v>25</v>
          </cell>
          <cell r="F34">
            <v>623</v>
          </cell>
        </row>
        <row r="35">
          <cell r="B35">
            <v>26</v>
          </cell>
          <cell r="F35">
            <v>577</v>
          </cell>
        </row>
        <row r="36">
          <cell r="B36">
            <v>27</v>
          </cell>
          <cell r="F36">
            <v>601</v>
          </cell>
        </row>
        <row r="37">
          <cell r="B37">
            <v>28</v>
          </cell>
          <cell r="F37">
            <v>554</v>
          </cell>
        </row>
        <row r="38">
          <cell r="B38">
            <v>29</v>
          </cell>
          <cell r="F38">
            <v>584</v>
          </cell>
        </row>
        <row r="39">
          <cell r="B39">
            <v>30</v>
          </cell>
          <cell r="F39">
            <v>580</v>
          </cell>
        </row>
        <row r="40">
          <cell r="B40">
            <v>31</v>
          </cell>
          <cell r="F40">
            <v>544</v>
          </cell>
        </row>
        <row r="41">
          <cell r="B41">
            <v>32</v>
          </cell>
          <cell r="F41">
            <v>592</v>
          </cell>
        </row>
        <row r="42">
          <cell r="B42">
            <v>33</v>
          </cell>
          <cell r="F42">
            <v>618</v>
          </cell>
        </row>
        <row r="43">
          <cell r="B43">
            <v>34</v>
          </cell>
          <cell r="F43">
            <v>611</v>
          </cell>
        </row>
        <row r="44">
          <cell r="B44">
            <v>35</v>
          </cell>
          <cell r="F44">
            <v>548</v>
          </cell>
        </row>
        <row r="45">
          <cell r="B45">
            <v>36</v>
          </cell>
          <cell r="F45">
            <v>555</v>
          </cell>
        </row>
        <row r="46">
          <cell r="B46">
            <v>37</v>
          </cell>
          <cell r="F46">
            <v>558</v>
          </cell>
        </row>
        <row r="47">
          <cell r="B47">
            <v>38</v>
          </cell>
          <cell r="F47">
            <v>618</v>
          </cell>
        </row>
        <row r="48">
          <cell r="B48">
            <v>39</v>
          </cell>
          <cell r="F48">
            <v>607</v>
          </cell>
        </row>
        <row r="49">
          <cell r="B49">
            <v>40</v>
          </cell>
          <cell r="F49">
            <v>591</v>
          </cell>
        </row>
        <row r="50">
          <cell r="B50">
            <v>41</v>
          </cell>
          <cell r="F50">
            <v>571</v>
          </cell>
        </row>
        <row r="51">
          <cell r="B51">
            <v>42</v>
          </cell>
          <cell r="F51">
            <v>576</v>
          </cell>
        </row>
        <row r="52">
          <cell r="B52">
            <v>43</v>
          </cell>
          <cell r="F52">
            <v>568</v>
          </cell>
        </row>
        <row r="53">
          <cell r="B53">
            <v>44</v>
          </cell>
          <cell r="F53">
            <v>552</v>
          </cell>
        </row>
        <row r="54">
          <cell r="B54">
            <v>45</v>
          </cell>
          <cell r="F54">
            <v>635</v>
          </cell>
        </row>
        <row r="55">
          <cell r="B55">
            <v>46</v>
          </cell>
          <cell r="F55">
            <v>555</v>
          </cell>
        </row>
        <row r="56">
          <cell r="B56">
            <v>47</v>
          </cell>
          <cell r="F56">
            <v>576</v>
          </cell>
        </row>
        <row r="57">
          <cell r="B57">
            <v>48</v>
          </cell>
          <cell r="F57">
            <v>578</v>
          </cell>
        </row>
        <row r="58">
          <cell r="B58">
            <v>49</v>
          </cell>
          <cell r="F58">
            <v>582</v>
          </cell>
        </row>
        <row r="59">
          <cell r="B59">
            <v>50</v>
          </cell>
          <cell r="F59">
            <v>576</v>
          </cell>
        </row>
        <row r="60">
          <cell r="B60">
            <v>51</v>
          </cell>
          <cell r="F60">
            <v>602</v>
          </cell>
        </row>
        <row r="61">
          <cell r="B61">
            <v>52</v>
          </cell>
          <cell r="F61">
            <v>545</v>
          </cell>
        </row>
        <row r="62">
          <cell r="B62">
            <v>53</v>
          </cell>
          <cell r="F62">
            <v>581</v>
          </cell>
        </row>
        <row r="63">
          <cell r="B63">
            <v>54</v>
          </cell>
          <cell r="F63">
            <v>615</v>
          </cell>
        </row>
        <row r="64">
          <cell r="B64">
            <v>55</v>
          </cell>
          <cell r="F64">
            <v>609</v>
          </cell>
        </row>
        <row r="65">
          <cell r="B65">
            <v>56</v>
          </cell>
          <cell r="F65">
            <v>545</v>
          </cell>
        </row>
        <row r="66">
          <cell r="B66">
            <v>57</v>
          </cell>
          <cell r="F66">
            <v>575</v>
          </cell>
        </row>
        <row r="67">
          <cell r="B67">
            <v>58</v>
          </cell>
          <cell r="F67">
            <v>551</v>
          </cell>
        </row>
        <row r="68">
          <cell r="B68">
            <v>59</v>
          </cell>
          <cell r="F68">
            <v>571</v>
          </cell>
        </row>
        <row r="69">
          <cell r="B69">
            <v>60</v>
          </cell>
          <cell r="F69">
            <v>566</v>
          </cell>
        </row>
        <row r="70">
          <cell r="B70">
            <v>61</v>
          </cell>
          <cell r="F70">
            <v>598</v>
          </cell>
        </row>
        <row r="71">
          <cell r="B71">
            <v>62</v>
          </cell>
          <cell r="F71">
            <v>581</v>
          </cell>
        </row>
        <row r="72">
          <cell r="B72">
            <v>63</v>
          </cell>
          <cell r="F72">
            <v>587</v>
          </cell>
        </row>
        <row r="73">
          <cell r="B73">
            <v>64</v>
          </cell>
          <cell r="F73">
            <v>621</v>
          </cell>
        </row>
        <row r="74">
          <cell r="B74">
            <v>65</v>
          </cell>
          <cell r="F74">
            <v>622</v>
          </cell>
        </row>
        <row r="75">
          <cell r="B75">
            <v>66</v>
          </cell>
          <cell r="F75">
            <v>632</v>
          </cell>
        </row>
        <row r="76">
          <cell r="B76">
            <v>67</v>
          </cell>
          <cell r="F76">
            <v>601</v>
          </cell>
        </row>
        <row r="78">
          <cell r="F78">
            <v>569</v>
          </cell>
        </row>
      </sheetData>
      <sheetData sheetId="4">
        <row r="101">
          <cell r="H101">
            <v>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BAB33-7837-4F38-9082-F461652D2081}">
  <sheetPr codeName="Sheet1"/>
  <dimension ref="A1:U194"/>
  <sheetViews>
    <sheetView tabSelected="1" workbookViewId="0">
      <pane xSplit="5" ySplit="1" topLeftCell="R2" activePane="bottomRight" state="frozenSplit"/>
      <selection pane="topRight" activeCell="F1" sqref="F1"/>
      <selection pane="bottomLeft" activeCell="A2" sqref="A2"/>
      <selection pane="bottomRight" activeCell="U1" sqref="U1:U1048576"/>
    </sheetView>
  </sheetViews>
  <sheetFormatPr defaultRowHeight="15" outlineLevelRow="4" outlineLevelCol="1" x14ac:dyDescent="0.25"/>
  <cols>
    <col min="1" max="4" width="3" style="7" customWidth="1"/>
    <col min="5" max="5" width="36.5703125" style="7" customWidth="1"/>
    <col min="6" max="6" width="9.85546875" hidden="1" customWidth="1" outlineLevel="1"/>
    <col min="7" max="7" width="9.28515625" hidden="1" customWidth="1" outlineLevel="1"/>
    <col min="8" max="11" width="8.7109375" hidden="1" customWidth="1" outlineLevel="1"/>
    <col min="12" max="12" width="10.28515625" hidden="1" customWidth="1" outlineLevel="1"/>
    <col min="13" max="13" width="8.7109375" hidden="1" customWidth="1" outlineLevel="1"/>
    <col min="14" max="14" width="9.28515625" hidden="1" customWidth="1" outlineLevel="1"/>
    <col min="15" max="16" width="8.42578125" hidden="1" customWidth="1" outlineLevel="1"/>
    <col min="17" max="17" width="9.28515625" hidden="1" customWidth="1" outlineLevel="1"/>
    <col min="18" max="18" width="18.140625" bestFit="1" customWidth="1" collapsed="1"/>
    <col min="19" max="19" width="11.85546875" hidden="1" customWidth="1"/>
    <col min="20" max="20" width="0" hidden="1" customWidth="1"/>
    <col min="21" max="21" width="9.140625" hidden="1" customWidth="1"/>
  </cols>
  <sheetData>
    <row r="1" spans="1:21" s="10" customFormat="1" ht="15.75" thickBot="1" x14ac:dyDescent="0.3">
      <c r="A1" s="8"/>
      <c r="B1" s="8"/>
      <c r="C1" s="8"/>
      <c r="D1" s="8"/>
      <c r="E1" s="8" t="s">
        <v>431</v>
      </c>
      <c r="F1" s="9" t="s">
        <v>371</v>
      </c>
      <c r="G1" s="9" t="s">
        <v>372</v>
      </c>
      <c r="H1" s="9" t="s">
        <v>373</v>
      </c>
      <c r="I1" s="9" t="s">
        <v>374</v>
      </c>
      <c r="J1" s="9" t="s">
        <v>375</v>
      </c>
      <c r="K1" s="9" t="s">
        <v>376</v>
      </c>
      <c r="L1" s="9" t="s">
        <v>377</v>
      </c>
      <c r="M1" s="9" t="s">
        <v>378</v>
      </c>
      <c r="N1" s="9" t="s">
        <v>379</v>
      </c>
      <c r="O1" s="9" t="s">
        <v>380</v>
      </c>
      <c r="P1" s="9" t="s">
        <v>381</v>
      </c>
      <c r="Q1" s="9" t="s">
        <v>382</v>
      </c>
      <c r="R1" s="9" t="s">
        <v>0</v>
      </c>
      <c r="S1" s="97" t="s">
        <v>348</v>
      </c>
    </row>
    <row r="2" spans="1:21" ht="15.75" outlineLevel="2" thickTop="1" x14ac:dyDescent="0.25">
      <c r="A2" s="1"/>
      <c r="B2" s="1" t="s">
        <v>1</v>
      </c>
      <c r="C2" s="1"/>
      <c r="D2" s="1"/>
      <c r="E2" s="1"/>
      <c r="F2" s="2"/>
      <c r="G2" s="2"/>
      <c r="H2" s="2"/>
      <c r="I2" s="2"/>
      <c r="J2" s="2"/>
      <c r="K2" s="2"/>
      <c r="L2" s="2"/>
      <c r="M2" s="2"/>
      <c r="N2" s="2"/>
      <c r="O2" s="2"/>
      <c r="P2" s="2"/>
      <c r="Q2" s="2"/>
      <c r="R2" s="2"/>
      <c r="U2">
        <v>0.03</v>
      </c>
    </row>
    <row r="3" spans="1:21" hidden="1" outlineLevel="3" x14ac:dyDescent="0.25">
      <c r="A3" s="1"/>
      <c r="B3" s="1"/>
      <c r="C3" s="1" t="s">
        <v>2</v>
      </c>
      <c r="D3" s="1"/>
      <c r="E3" s="1"/>
      <c r="F3" s="2"/>
      <c r="G3" s="2"/>
      <c r="H3" s="2"/>
      <c r="I3" s="2"/>
      <c r="J3" s="2"/>
      <c r="K3" s="2"/>
      <c r="L3" s="2"/>
      <c r="M3" s="2"/>
      <c r="N3" s="2"/>
      <c r="O3" s="2"/>
      <c r="P3" s="2"/>
      <c r="Q3" s="2"/>
      <c r="R3" s="2"/>
    </row>
    <row r="4" spans="1:21" hidden="1" outlineLevel="3" x14ac:dyDescent="0.25">
      <c r="A4" s="1"/>
      <c r="B4" s="1"/>
      <c r="C4" s="1"/>
      <c r="D4" s="1" t="s">
        <v>383</v>
      </c>
      <c r="E4" s="1"/>
      <c r="F4" s="2">
        <f>1276000/12</f>
        <v>106333.33333333333</v>
      </c>
      <c r="G4" s="2">
        <f t="shared" ref="G4:Q4" si="0">F4</f>
        <v>106333.33333333333</v>
      </c>
      <c r="H4" s="2">
        <f t="shared" si="0"/>
        <v>106333.33333333333</v>
      </c>
      <c r="I4" s="2">
        <f t="shared" si="0"/>
        <v>106333.33333333333</v>
      </c>
      <c r="J4" s="2">
        <f t="shared" si="0"/>
        <v>106333.33333333333</v>
      </c>
      <c r="K4" s="2">
        <f t="shared" si="0"/>
        <v>106333.33333333333</v>
      </c>
      <c r="L4" s="2">
        <f t="shared" si="0"/>
        <v>106333.33333333333</v>
      </c>
      <c r="M4" s="2">
        <f t="shared" si="0"/>
        <v>106333.33333333333</v>
      </c>
      <c r="N4" s="2">
        <f t="shared" si="0"/>
        <v>106333.33333333333</v>
      </c>
      <c r="O4" s="2">
        <f t="shared" si="0"/>
        <v>106333.33333333333</v>
      </c>
      <c r="P4" s="2">
        <f t="shared" si="0"/>
        <v>106333.33333333333</v>
      </c>
      <c r="Q4" s="2">
        <f t="shared" si="0"/>
        <v>106333.33333333333</v>
      </c>
      <c r="R4" s="2">
        <f t="shared" ref="R4:R19" si="1">ROUND(SUM(F4:Q4),5)</f>
        <v>1276000</v>
      </c>
    </row>
    <row r="5" spans="1:21" hidden="1" outlineLevel="3" x14ac:dyDescent="0.25">
      <c r="A5" s="1"/>
      <c r="B5" s="1"/>
      <c r="C5" s="1"/>
      <c r="D5" s="1" t="s">
        <v>3</v>
      </c>
      <c r="E5" s="1"/>
      <c r="F5" s="2">
        <v>0</v>
      </c>
      <c r="G5" s="2">
        <v>0</v>
      </c>
      <c r="H5" s="2">
        <v>0</v>
      </c>
      <c r="I5" s="2">
        <v>0</v>
      </c>
      <c r="J5" s="2">
        <v>0</v>
      </c>
      <c r="K5" s="2">
        <v>0</v>
      </c>
      <c r="L5" s="2">
        <v>0</v>
      </c>
      <c r="M5" s="2">
        <v>0</v>
      </c>
      <c r="N5" s="2">
        <v>0</v>
      </c>
      <c r="O5" s="2">
        <v>0</v>
      </c>
      <c r="P5" s="2">
        <v>0</v>
      </c>
      <c r="Q5" s="2">
        <v>0</v>
      </c>
      <c r="R5" s="2">
        <f t="shared" si="1"/>
        <v>0</v>
      </c>
    </row>
    <row r="6" spans="1:21" hidden="1" outlineLevel="3" x14ac:dyDescent="0.25">
      <c r="A6" s="1"/>
      <c r="B6" s="1"/>
      <c r="C6" s="1"/>
      <c r="D6" s="1" t="s">
        <v>4</v>
      </c>
      <c r="E6" s="1"/>
      <c r="F6" s="2">
        <v>0</v>
      </c>
      <c r="G6" s="2">
        <v>0</v>
      </c>
      <c r="H6" s="2">
        <v>0</v>
      </c>
      <c r="I6" s="2">
        <v>0</v>
      </c>
      <c r="J6" s="2">
        <v>0</v>
      </c>
      <c r="K6" s="2">
        <v>0</v>
      </c>
      <c r="L6" s="2">
        <v>0</v>
      </c>
      <c r="M6" s="2">
        <v>0</v>
      </c>
      <c r="N6" s="2">
        <v>0</v>
      </c>
      <c r="O6" s="2">
        <v>0</v>
      </c>
      <c r="P6" s="2">
        <v>0</v>
      </c>
      <c r="Q6" s="2">
        <v>0</v>
      </c>
      <c r="R6" s="2">
        <f t="shared" si="1"/>
        <v>0</v>
      </c>
    </row>
    <row r="7" spans="1:21" hidden="1" outlineLevel="3" x14ac:dyDescent="0.25">
      <c r="A7" s="1"/>
      <c r="B7" s="1"/>
      <c r="C7" s="1"/>
      <c r="D7" s="1" t="s">
        <v>5</v>
      </c>
      <c r="E7" s="1"/>
      <c r="F7" s="2">
        <v>0</v>
      </c>
      <c r="G7" s="2">
        <v>0</v>
      </c>
      <c r="H7" s="2">
        <v>0</v>
      </c>
      <c r="I7" s="2">
        <v>0</v>
      </c>
      <c r="J7" s="2">
        <v>0</v>
      </c>
      <c r="K7" s="2">
        <v>0</v>
      </c>
      <c r="L7" s="2">
        <v>0</v>
      </c>
      <c r="M7" s="2">
        <v>0</v>
      </c>
      <c r="N7" s="2">
        <v>0</v>
      </c>
      <c r="O7" s="2">
        <v>0</v>
      </c>
      <c r="P7" s="2">
        <v>0</v>
      </c>
      <c r="Q7" s="2">
        <v>0</v>
      </c>
      <c r="R7" s="2">
        <f t="shared" si="1"/>
        <v>0</v>
      </c>
    </row>
    <row r="8" spans="1:21" hidden="1" outlineLevel="3" x14ac:dyDescent="0.25">
      <c r="A8" s="1"/>
      <c r="B8" s="1"/>
      <c r="C8" s="1"/>
      <c r="D8" s="1" t="s">
        <v>6</v>
      </c>
      <c r="E8" s="1"/>
      <c r="F8" s="2">
        <v>0</v>
      </c>
      <c r="G8" s="2">
        <v>0</v>
      </c>
      <c r="H8" s="2">
        <v>0</v>
      </c>
      <c r="I8" s="2">
        <v>0</v>
      </c>
      <c r="J8" s="2">
        <v>0</v>
      </c>
      <c r="K8" s="2">
        <v>0</v>
      </c>
      <c r="L8" s="2">
        <v>0</v>
      </c>
      <c r="M8" s="2">
        <v>0</v>
      </c>
      <c r="N8" s="2">
        <v>0</v>
      </c>
      <c r="O8" s="2">
        <v>0</v>
      </c>
      <c r="P8" s="2">
        <v>0</v>
      </c>
      <c r="Q8" s="2">
        <v>0</v>
      </c>
      <c r="R8" s="2">
        <f t="shared" si="1"/>
        <v>0</v>
      </c>
    </row>
    <row r="9" spans="1:21" hidden="1" outlineLevel="3" x14ac:dyDescent="0.25">
      <c r="A9" s="1"/>
      <c r="B9" s="1"/>
      <c r="C9" s="1"/>
      <c r="D9" s="1" t="s">
        <v>7</v>
      </c>
      <c r="E9" s="1"/>
      <c r="F9" s="2">
        <v>0</v>
      </c>
      <c r="G9" s="2">
        <v>0</v>
      </c>
      <c r="H9" s="2">
        <v>0</v>
      </c>
      <c r="I9" s="2">
        <v>0</v>
      </c>
      <c r="J9" s="2">
        <v>0</v>
      </c>
      <c r="K9" s="2">
        <v>0</v>
      </c>
      <c r="L9" s="2">
        <v>0</v>
      </c>
      <c r="M9" s="2">
        <v>0</v>
      </c>
      <c r="N9" s="2">
        <v>0</v>
      </c>
      <c r="O9" s="2">
        <v>0</v>
      </c>
      <c r="P9" s="2">
        <v>0</v>
      </c>
      <c r="Q9" s="2">
        <v>0</v>
      </c>
      <c r="R9" s="2">
        <f t="shared" si="1"/>
        <v>0</v>
      </c>
    </row>
    <row r="10" spans="1:21" hidden="1" outlineLevel="3" x14ac:dyDescent="0.25">
      <c r="A10" s="1"/>
      <c r="B10" s="1"/>
      <c r="C10" s="1"/>
      <c r="D10" s="1" t="s">
        <v>8</v>
      </c>
      <c r="E10" s="1"/>
      <c r="F10" s="2">
        <v>0</v>
      </c>
      <c r="G10" s="2">
        <v>0</v>
      </c>
      <c r="H10" s="2">
        <v>0</v>
      </c>
      <c r="I10" s="2">
        <v>0</v>
      </c>
      <c r="J10" s="2">
        <v>0</v>
      </c>
      <c r="K10" s="2">
        <v>0</v>
      </c>
      <c r="L10" s="2">
        <v>0</v>
      </c>
      <c r="M10" s="2">
        <v>0</v>
      </c>
      <c r="N10" s="2">
        <v>0</v>
      </c>
      <c r="O10" s="2">
        <v>0</v>
      </c>
      <c r="P10" s="2">
        <v>0</v>
      </c>
      <c r="Q10" s="2">
        <v>0</v>
      </c>
      <c r="R10" s="2">
        <f t="shared" si="1"/>
        <v>0</v>
      </c>
    </row>
    <row r="11" spans="1:21" hidden="1" outlineLevel="3" x14ac:dyDescent="0.25">
      <c r="A11" s="1"/>
      <c r="B11" s="1"/>
      <c r="C11" s="1"/>
      <c r="D11" s="1" t="s">
        <v>9</v>
      </c>
      <c r="E11" s="1"/>
      <c r="F11" s="2">
        <v>0</v>
      </c>
      <c r="G11" s="2">
        <v>0</v>
      </c>
      <c r="H11" s="2">
        <v>0</v>
      </c>
      <c r="I11" s="2">
        <v>0</v>
      </c>
      <c r="J11" s="2">
        <v>0</v>
      </c>
      <c r="K11" s="2">
        <v>0</v>
      </c>
      <c r="L11" s="2">
        <v>0</v>
      </c>
      <c r="M11" s="2">
        <v>0</v>
      </c>
      <c r="N11" s="2">
        <v>0</v>
      </c>
      <c r="O11" s="2">
        <v>0</v>
      </c>
      <c r="P11" s="2">
        <v>0</v>
      </c>
      <c r="Q11" s="2">
        <v>0</v>
      </c>
      <c r="R11" s="2">
        <f t="shared" si="1"/>
        <v>0</v>
      </c>
    </row>
    <row r="12" spans="1:21" hidden="1" outlineLevel="3" x14ac:dyDescent="0.25">
      <c r="A12" s="1"/>
      <c r="B12" s="1"/>
      <c r="C12" s="1"/>
      <c r="D12" s="1" t="s">
        <v>10</v>
      </c>
      <c r="E12" s="1"/>
      <c r="F12" s="2">
        <v>0</v>
      </c>
      <c r="G12" s="2">
        <v>0</v>
      </c>
      <c r="H12" s="2">
        <v>0</v>
      </c>
      <c r="I12" s="2">
        <v>0</v>
      </c>
      <c r="J12" s="2">
        <v>0</v>
      </c>
      <c r="K12" s="2">
        <v>0</v>
      </c>
      <c r="L12" s="2">
        <v>0</v>
      </c>
      <c r="M12" s="2">
        <v>0</v>
      </c>
      <c r="N12" s="2">
        <v>0</v>
      </c>
      <c r="O12" s="2">
        <v>0</v>
      </c>
      <c r="P12" s="2">
        <v>0</v>
      </c>
      <c r="Q12" s="2">
        <v>0</v>
      </c>
      <c r="R12" s="2">
        <f t="shared" si="1"/>
        <v>0</v>
      </c>
    </row>
    <row r="13" spans="1:21" hidden="1" outlineLevel="3" x14ac:dyDescent="0.25">
      <c r="A13" s="1"/>
      <c r="B13" s="1"/>
      <c r="C13" s="1"/>
      <c r="D13" s="1" t="s">
        <v>11</v>
      </c>
      <c r="E13" s="1"/>
      <c r="F13" s="2">
        <v>0</v>
      </c>
      <c r="G13" s="2">
        <v>0</v>
      </c>
      <c r="H13" s="2">
        <v>0</v>
      </c>
      <c r="I13" s="2">
        <v>0</v>
      </c>
      <c r="J13" s="2">
        <v>0</v>
      </c>
      <c r="K13" s="2">
        <v>0</v>
      </c>
      <c r="L13" s="2">
        <v>0</v>
      </c>
      <c r="M13" s="2">
        <v>0</v>
      </c>
      <c r="N13" s="2">
        <v>0</v>
      </c>
      <c r="O13" s="2">
        <v>0</v>
      </c>
      <c r="P13" s="2">
        <v>0</v>
      </c>
      <c r="Q13" s="2">
        <v>0</v>
      </c>
      <c r="R13" s="2">
        <f t="shared" si="1"/>
        <v>0</v>
      </c>
    </row>
    <row r="14" spans="1:21" hidden="1" outlineLevel="3" x14ac:dyDescent="0.25">
      <c r="A14" s="1"/>
      <c r="B14" s="1"/>
      <c r="C14" s="1"/>
      <c r="D14" s="1" t="s">
        <v>12</v>
      </c>
      <c r="E14" s="1"/>
      <c r="F14" s="2">
        <v>0</v>
      </c>
      <c r="G14" s="2">
        <v>0</v>
      </c>
      <c r="H14" s="2">
        <v>0</v>
      </c>
      <c r="I14" s="2">
        <v>0</v>
      </c>
      <c r="J14" s="2">
        <v>0</v>
      </c>
      <c r="K14" s="2">
        <v>0</v>
      </c>
      <c r="L14" s="2">
        <v>0</v>
      </c>
      <c r="M14" s="2">
        <v>0</v>
      </c>
      <c r="N14" s="2">
        <v>0</v>
      </c>
      <c r="O14" s="2">
        <v>0</v>
      </c>
      <c r="P14" s="2">
        <v>0</v>
      </c>
      <c r="Q14" s="2">
        <v>0</v>
      </c>
      <c r="R14" s="2">
        <f t="shared" si="1"/>
        <v>0</v>
      </c>
    </row>
    <row r="15" spans="1:21" hidden="1" outlineLevel="3" x14ac:dyDescent="0.25">
      <c r="A15" s="1"/>
      <c r="B15" s="1"/>
      <c r="C15" s="1"/>
      <c r="D15" s="1" t="s">
        <v>13</v>
      </c>
      <c r="E15" s="1"/>
      <c r="F15" s="2">
        <v>0</v>
      </c>
      <c r="G15" s="2">
        <v>0</v>
      </c>
      <c r="H15" s="2">
        <v>0</v>
      </c>
      <c r="I15" s="2">
        <v>0</v>
      </c>
      <c r="J15" s="2">
        <v>0</v>
      </c>
      <c r="K15" s="2">
        <v>0</v>
      </c>
      <c r="L15" s="2">
        <v>0</v>
      </c>
      <c r="M15" s="2">
        <v>0</v>
      </c>
      <c r="N15" s="2">
        <v>0</v>
      </c>
      <c r="O15" s="2">
        <v>0</v>
      </c>
      <c r="P15" s="2">
        <v>0</v>
      </c>
      <c r="Q15" s="2">
        <v>0</v>
      </c>
      <c r="R15" s="2">
        <f t="shared" si="1"/>
        <v>0</v>
      </c>
    </row>
    <row r="16" spans="1:21" hidden="1" outlineLevel="3" x14ac:dyDescent="0.25">
      <c r="A16" s="1"/>
      <c r="B16" s="1"/>
      <c r="C16" s="1"/>
      <c r="D16" s="1" t="s">
        <v>364</v>
      </c>
      <c r="E16" s="1"/>
      <c r="F16" s="2">
        <v>0</v>
      </c>
      <c r="G16" s="2">
        <v>0</v>
      </c>
      <c r="H16" s="2">
        <v>0</v>
      </c>
      <c r="I16" s="2">
        <v>0</v>
      </c>
      <c r="J16" s="2">
        <v>0</v>
      </c>
      <c r="K16" s="2">
        <v>0</v>
      </c>
      <c r="L16" s="2">
        <v>0</v>
      </c>
      <c r="M16" s="2">
        <v>0</v>
      </c>
      <c r="N16" s="2">
        <v>0</v>
      </c>
      <c r="O16" s="2">
        <v>0</v>
      </c>
      <c r="P16" s="2">
        <v>0</v>
      </c>
      <c r="Q16" s="2">
        <v>0</v>
      </c>
      <c r="R16" s="2">
        <f t="shared" si="1"/>
        <v>0</v>
      </c>
    </row>
    <row r="17" spans="1:19" ht="15.75" hidden="1" outlineLevel="3" thickBot="1" x14ac:dyDescent="0.3">
      <c r="A17" s="1"/>
      <c r="B17" s="1"/>
      <c r="C17" s="1"/>
      <c r="D17" s="1" t="s">
        <v>14</v>
      </c>
      <c r="E17" s="1"/>
      <c r="F17" s="3">
        <v>0</v>
      </c>
      <c r="G17" s="3">
        <v>0</v>
      </c>
      <c r="H17" s="3">
        <v>0</v>
      </c>
      <c r="I17" s="3">
        <v>0</v>
      </c>
      <c r="J17" s="3">
        <v>0</v>
      </c>
      <c r="K17" s="3">
        <v>0</v>
      </c>
      <c r="L17" s="3">
        <v>0</v>
      </c>
      <c r="M17" s="3">
        <v>0</v>
      </c>
      <c r="N17" s="3">
        <v>0</v>
      </c>
      <c r="O17" s="3">
        <v>0</v>
      </c>
      <c r="P17" s="3">
        <v>0</v>
      </c>
      <c r="Q17" s="3">
        <v>0</v>
      </c>
      <c r="R17" s="3">
        <f t="shared" si="1"/>
        <v>0</v>
      </c>
    </row>
    <row r="18" spans="1:19" outlineLevel="2" collapsed="1" x14ac:dyDescent="0.25">
      <c r="A18" s="1"/>
      <c r="B18" s="1"/>
      <c r="C18" s="1" t="s">
        <v>15</v>
      </c>
      <c r="D18" s="1"/>
      <c r="E18" s="1"/>
      <c r="F18" s="2">
        <f>(FEFP!$H$99/12)+F4</f>
        <v>604270.66666666663</v>
      </c>
      <c r="G18" s="2">
        <f>(FEFP!$H$99/12)+G4</f>
        <v>604270.66666666663</v>
      </c>
      <c r="H18" s="2">
        <f>(FEFP!$H$99/12)+H4</f>
        <v>604270.66666666663</v>
      </c>
      <c r="I18" s="2">
        <f>(FEFP!$H$99/12)+I4</f>
        <v>604270.66666666663</v>
      </c>
      <c r="J18" s="2">
        <f>(FEFP!$H$99/12)+J4</f>
        <v>604270.66666666663</v>
      </c>
      <c r="K18" s="2">
        <f>(FEFP!$H$99/12)+K4</f>
        <v>604270.66666666663</v>
      </c>
      <c r="L18" s="2">
        <f>(FEFP!$H$99/12)+L4</f>
        <v>604270.66666666663</v>
      </c>
      <c r="M18" s="2">
        <f>(FEFP!$H$99/12)+M4</f>
        <v>604270.66666666663</v>
      </c>
      <c r="N18" s="2">
        <f>(FEFP!$H$99/12)+N4</f>
        <v>604270.66666666663</v>
      </c>
      <c r="O18" s="2">
        <f>(FEFP!$H$99/12)+O4</f>
        <v>604270.66666666663</v>
      </c>
      <c r="P18" s="2">
        <f>(FEFP!$H$99/12)+P4</f>
        <v>604270.66666666663</v>
      </c>
      <c r="Q18" s="2">
        <f>(FEFP!$H$99/12)+Q4</f>
        <v>604270.66666666663</v>
      </c>
      <c r="R18" s="2">
        <f t="shared" si="1"/>
        <v>7251248</v>
      </c>
      <c r="S18" s="98">
        <f>R18/$R$38</f>
        <v>0.83413853150318429</v>
      </c>
    </row>
    <row r="19" spans="1:19" outlineLevel="2" x14ac:dyDescent="0.25">
      <c r="A19" s="1"/>
      <c r="B19" s="1"/>
      <c r="C19" s="1" t="s">
        <v>16</v>
      </c>
      <c r="D19" s="1"/>
      <c r="E19" s="1"/>
      <c r="F19" s="2">
        <v>5000</v>
      </c>
      <c r="G19" s="2">
        <f t="shared" ref="G19:Q19" si="2">+F19</f>
        <v>5000</v>
      </c>
      <c r="H19" s="2">
        <f t="shared" si="2"/>
        <v>5000</v>
      </c>
      <c r="I19" s="2">
        <f t="shared" si="2"/>
        <v>5000</v>
      </c>
      <c r="J19" s="2">
        <f t="shared" si="2"/>
        <v>5000</v>
      </c>
      <c r="K19" s="2">
        <f t="shared" si="2"/>
        <v>5000</v>
      </c>
      <c r="L19" s="2">
        <f t="shared" si="2"/>
        <v>5000</v>
      </c>
      <c r="M19" s="2">
        <f t="shared" si="2"/>
        <v>5000</v>
      </c>
      <c r="N19" s="2">
        <f t="shared" si="2"/>
        <v>5000</v>
      </c>
      <c r="O19" s="2">
        <f t="shared" si="2"/>
        <v>5000</v>
      </c>
      <c r="P19" s="2">
        <f t="shared" si="2"/>
        <v>5000</v>
      </c>
      <c r="Q19" s="2">
        <f t="shared" si="2"/>
        <v>5000</v>
      </c>
      <c r="R19" s="2">
        <f t="shared" si="1"/>
        <v>60000</v>
      </c>
      <c r="S19" s="98">
        <f>R19/$R$38</f>
        <v>6.902027332424854E-3</v>
      </c>
    </row>
    <row r="20" spans="1:19" hidden="1" outlineLevel="3" x14ac:dyDescent="0.25">
      <c r="A20" s="1"/>
      <c r="B20" s="1"/>
      <c r="C20" s="1" t="s">
        <v>17</v>
      </c>
      <c r="D20" s="1"/>
      <c r="E20" s="1"/>
      <c r="F20" s="2"/>
      <c r="G20" s="2"/>
      <c r="H20" s="2"/>
      <c r="I20" s="2"/>
      <c r="J20" s="2"/>
      <c r="K20" s="2"/>
      <c r="L20" s="2"/>
      <c r="M20" s="2"/>
      <c r="N20" s="2"/>
      <c r="O20" s="2"/>
      <c r="P20" s="2"/>
      <c r="Q20" s="2"/>
      <c r="R20" s="2"/>
      <c r="S20" s="99"/>
    </row>
    <row r="21" spans="1:19" ht="15.75" hidden="1" outlineLevel="3" thickBot="1" x14ac:dyDescent="0.3">
      <c r="A21" s="1"/>
      <c r="B21" s="1"/>
      <c r="C21" s="1"/>
      <c r="D21" s="1" t="s">
        <v>456</v>
      </c>
      <c r="E21" s="1"/>
      <c r="F21" s="3">
        <f>FEFP!$C$28*1250/12</f>
        <v>67916.666666666672</v>
      </c>
      <c r="G21" s="3">
        <f>FEFP!$C$28*1250/12</f>
        <v>67916.666666666672</v>
      </c>
      <c r="H21" s="3">
        <f>FEFP!$C$28*1250/12</f>
        <v>67916.666666666672</v>
      </c>
      <c r="I21" s="3">
        <f>FEFP!$C$28*1250/12</f>
        <v>67916.666666666672</v>
      </c>
      <c r="J21" s="3">
        <f>FEFP!$C$28*1250/12</f>
        <v>67916.666666666672</v>
      </c>
      <c r="K21" s="3">
        <f>FEFP!$C$28*1250/12</f>
        <v>67916.666666666672</v>
      </c>
      <c r="L21" s="3">
        <f>FEFP!$C$28*1250/12</f>
        <v>67916.666666666672</v>
      </c>
      <c r="M21" s="3">
        <f>FEFP!$C$28*1250/12</f>
        <v>67916.666666666672</v>
      </c>
      <c r="N21" s="3">
        <f>FEFP!$C$28*1250/12</f>
        <v>67916.666666666672</v>
      </c>
      <c r="O21" s="3">
        <f>FEFP!$C$28*1250/12</f>
        <v>67916.666666666672</v>
      </c>
      <c r="P21" s="3">
        <f>FEFP!$C$28*1250/12</f>
        <v>67916.666666666672</v>
      </c>
      <c r="Q21" s="3">
        <f>FEFP!$C$28*1250/12</f>
        <v>67916.666666666672</v>
      </c>
      <c r="R21" s="3">
        <f>ROUND(SUM(F21:Q21),5)</f>
        <v>815000</v>
      </c>
      <c r="S21" s="99"/>
    </row>
    <row r="22" spans="1:19" outlineLevel="2" collapsed="1" x14ac:dyDescent="0.25">
      <c r="A22" s="1"/>
      <c r="B22" s="1"/>
      <c r="C22" s="1" t="s">
        <v>18</v>
      </c>
      <c r="D22" s="1"/>
      <c r="E22" s="1"/>
      <c r="F22" s="2">
        <f t="shared" ref="F22:Q22" si="3">ROUND(SUM(F20:F21),5)</f>
        <v>67916.666670000006</v>
      </c>
      <c r="G22" s="2">
        <f t="shared" si="3"/>
        <v>67916.666670000006</v>
      </c>
      <c r="H22" s="2">
        <f t="shared" si="3"/>
        <v>67916.666670000006</v>
      </c>
      <c r="I22" s="2">
        <f t="shared" si="3"/>
        <v>67916.666670000006</v>
      </c>
      <c r="J22" s="2">
        <f t="shared" si="3"/>
        <v>67916.666670000006</v>
      </c>
      <c r="K22" s="2">
        <f t="shared" si="3"/>
        <v>67916.666670000006</v>
      </c>
      <c r="L22" s="2">
        <f t="shared" si="3"/>
        <v>67916.666670000006</v>
      </c>
      <c r="M22" s="2">
        <f t="shared" si="3"/>
        <v>67916.666670000006</v>
      </c>
      <c r="N22" s="2">
        <f t="shared" si="3"/>
        <v>67916.666670000006</v>
      </c>
      <c r="O22" s="2">
        <f t="shared" si="3"/>
        <v>67916.666670000006</v>
      </c>
      <c r="P22" s="2">
        <f t="shared" si="3"/>
        <v>67916.666670000006</v>
      </c>
      <c r="Q22" s="2">
        <f t="shared" si="3"/>
        <v>67916.666670000006</v>
      </c>
      <c r="R22" s="2">
        <f>ROUND(SUM(F22:Q22),5)</f>
        <v>815000.00003999996</v>
      </c>
      <c r="S22" s="98">
        <f>R22/$R$38</f>
        <v>9.3752537936705613E-2</v>
      </c>
    </row>
    <row r="23" spans="1:19" hidden="1" outlineLevel="3" x14ac:dyDescent="0.25">
      <c r="A23" s="1"/>
      <c r="B23" s="1"/>
      <c r="C23" s="1" t="s">
        <v>19</v>
      </c>
      <c r="D23" s="1"/>
      <c r="E23" s="1"/>
      <c r="F23" s="2"/>
      <c r="G23" s="2"/>
      <c r="H23" s="2"/>
      <c r="I23" s="2"/>
      <c r="J23" s="2"/>
      <c r="K23" s="2"/>
      <c r="L23" s="2"/>
      <c r="M23" s="2"/>
      <c r="N23" s="2"/>
      <c r="O23" s="2"/>
      <c r="P23" s="2"/>
      <c r="Q23" s="2"/>
      <c r="R23" s="2"/>
      <c r="S23" s="99"/>
    </row>
    <row r="24" spans="1:19" hidden="1" outlineLevel="3" x14ac:dyDescent="0.25">
      <c r="A24" s="1"/>
      <c r="B24" s="1"/>
      <c r="C24" s="1"/>
      <c r="D24" s="1" t="s">
        <v>20</v>
      </c>
      <c r="E24" s="1"/>
      <c r="F24" s="2">
        <v>0</v>
      </c>
      <c r="G24" s="2">
        <v>20000</v>
      </c>
      <c r="H24" s="2">
        <f t="shared" ref="H24:P24" si="4">+G24</f>
        <v>20000</v>
      </c>
      <c r="I24" s="2">
        <f t="shared" si="4"/>
        <v>20000</v>
      </c>
      <c r="J24" s="2">
        <f t="shared" si="4"/>
        <v>20000</v>
      </c>
      <c r="K24" s="2">
        <f t="shared" si="4"/>
        <v>20000</v>
      </c>
      <c r="L24" s="2">
        <f t="shared" si="4"/>
        <v>20000</v>
      </c>
      <c r="M24" s="2">
        <f t="shared" si="4"/>
        <v>20000</v>
      </c>
      <c r="N24" s="2">
        <f t="shared" si="4"/>
        <v>20000</v>
      </c>
      <c r="O24" s="2">
        <f t="shared" si="4"/>
        <v>20000</v>
      </c>
      <c r="P24" s="2">
        <f t="shared" si="4"/>
        <v>20000</v>
      </c>
      <c r="Q24" s="2">
        <v>0</v>
      </c>
      <c r="R24" s="2">
        <f t="shared" ref="R24:R30" si="5">ROUND(SUM(F24:Q24),5)</f>
        <v>200000</v>
      </c>
      <c r="S24" s="99"/>
    </row>
    <row r="25" spans="1:19" hidden="1" outlineLevel="3" x14ac:dyDescent="0.25">
      <c r="A25" s="1"/>
      <c r="B25" s="1"/>
      <c r="C25" s="1"/>
      <c r="D25" s="1" t="s">
        <v>21</v>
      </c>
      <c r="E25" s="1"/>
      <c r="F25" s="2">
        <v>2000</v>
      </c>
      <c r="G25" s="2">
        <v>3000</v>
      </c>
      <c r="H25" s="2">
        <v>0</v>
      </c>
      <c r="I25" s="2">
        <v>0</v>
      </c>
      <c r="J25" s="2">
        <v>10000</v>
      </c>
      <c r="K25" s="2">
        <v>0</v>
      </c>
      <c r="L25" s="2">
        <v>0</v>
      </c>
      <c r="M25" s="2">
        <v>0</v>
      </c>
      <c r="N25" s="2">
        <v>5000</v>
      </c>
      <c r="O25" s="2">
        <v>0</v>
      </c>
      <c r="P25" s="2">
        <v>0</v>
      </c>
      <c r="Q25" s="2">
        <v>0</v>
      </c>
      <c r="R25" s="2">
        <f t="shared" si="5"/>
        <v>20000</v>
      </c>
      <c r="S25" s="99"/>
    </row>
    <row r="26" spans="1:19" hidden="1" outlineLevel="3" x14ac:dyDescent="0.25">
      <c r="A26" s="1"/>
      <c r="B26" s="1"/>
      <c r="C26" s="1"/>
      <c r="D26" s="1" t="s">
        <v>22</v>
      </c>
      <c r="E26" s="1"/>
      <c r="F26" s="2">
        <v>0</v>
      </c>
      <c r="G26" s="2">
        <v>0</v>
      </c>
      <c r="H26" s="2">
        <v>0</v>
      </c>
      <c r="I26" s="2">
        <v>1000</v>
      </c>
      <c r="J26" s="2">
        <v>0</v>
      </c>
      <c r="K26" s="2">
        <v>0</v>
      </c>
      <c r="L26" s="2">
        <v>0</v>
      </c>
      <c r="M26" s="2">
        <v>0</v>
      </c>
      <c r="N26" s="2">
        <v>1000</v>
      </c>
      <c r="O26" s="2">
        <v>0</v>
      </c>
      <c r="P26" s="2">
        <v>0</v>
      </c>
      <c r="Q26" s="2">
        <v>0</v>
      </c>
      <c r="R26" s="2">
        <f t="shared" si="5"/>
        <v>2000</v>
      </c>
      <c r="S26" s="99"/>
    </row>
    <row r="27" spans="1:19" hidden="1" outlineLevel="3" x14ac:dyDescent="0.25">
      <c r="A27" s="1"/>
      <c r="B27" s="1"/>
      <c r="C27" s="1"/>
      <c r="D27" s="1" t="s">
        <v>23</v>
      </c>
      <c r="E27" s="1"/>
      <c r="F27" s="2">
        <v>0</v>
      </c>
      <c r="G27" s="2">
        <v>3000</v>
      </c>
      <c r="H27" s="2">
        <f t="shared" ref="H27:P27" si="6">+G27</f>
        <v>3000</v>
      </c>
      <c r="I27" s="2">
        <f t="shared" si="6"/>
        <v>3000</v>
      </c>
      <c r="J27" s="2">
        <f t="shared" si="6"/>
        <v>3000</v>
      </c>
      <c r="K27" s="2">
        <f t="shared" si="6"/>
        <v>3000</v>
      </c>
      <c r="L27" s="2">
        <f t="shared" si="6"/>
        <v>3000</v>
      </c>
      <c r="M27" s="2">
        <f t="shared" si="6"/>
        <v>3000</v>
      </c>
      <c r="N27" s="2">
        <f t="shared" si="6"/>
        <v>3000</v>
      </c>
      <c r="O27" s="2">
        <f t="shared" si="6"/>
        <v>3000</v>
      </c>
      <c r="P27" s="2">
        <f t="shared" si="6"/>
        <v>3000</v>
      </c>
      <c r="Q27" s="2">
        <v>0</v>
      </c>
      <c r="R27" s="2">
        <f t="shared" si="5"/>
        <v>30000</v>
      </c>
      <c r="S27" s="99"/>
    </row>
    <row r="28" spans="1:19" hidden="1" outlineLevel="3" x14ac:dyDescent="0.25">
      <c r="A28" s="1"/>
      <c r="B28" s="1"/>
      <c r="C28" s="1"/>
      <c r="D28" s="1" t="s">
        <v>24</v>
      </c>
      <c r="E28" s="1"/>
      <c r="F28" s="2">
        <v>0</v>
      </c>
      <c r="G28" s="2">
        <v>0</v>
      </c>
      <c r="H28" s="2">
        <v>0</v>
      </c>
      <c r="I28" s="2">
        <v>0</v>
      </c>
      <c r="J28" s="2">
        <v>500</v>
      </c>
      <c r="K28" s="2">
        <v>0</v>
      </c>
      <c r="L28" s="2">
        <v>0</v>
      </c>
      <c r="M28" s="2">
        <v>0</v>
      </c>
      <c r="N28" s="2">
        <v>0</v>
      </c>
      <c r="O28" s="2">
        <v>500</v>
      </c>
      <c r="P28" s="2">
        <v>0</v>
      </c>
      <c r="Q28" s="2">
        <v>0</v>
      </c>
      <c r="R28" s="2">
        <f t="shared" si="5"/>
        <v>1000</v>
      </c>
      <c r="S28" s="99"/>
    </row>
    <row r="29" spans="1:19" ht="15.75" hidden="1" outlineLevel="3" thickBot="1" x14ac:dyDescent="0.3">
      <c r="A29" s="1"/>
      <c r="B29" s="1"/>
      <c r="C29" s="1"/>
      <c r="D29" s="1" t="s">
        <v>25</v>
      </c>
      <c r="E29" s="1"/>
      <c r="F29" s="3">
        <v>0</v>
      </c>
      <c r="G29" s="3">
        <v>0</v>
      </c>
      <c r="H29" s="3">
        <v>0</v>
      </c>
      <c r="I29" s="3">
        <v>0</v>
      </c>
      <c r="J29" s="3">
        <v>0</v>
      </c>
      <c r="K29" s="3">
        <v>0</v>
      </c>
      <c r="L29" s="3">
        <v>0</v>
      </c>
      <c r="M29" s="3">
        <v>0</v>
      </c>
      <c r="N29" s="3">
        <v>0</v>
      </c>
      <c r="O29" s="3">
        <v>0</v>
      </c>
      <c r="P29" s="3">
        <v>0</v>
      </c>
      <c r="Q29" s="3">
        <v>0</v>
      </c>
      <c r="R29" s="3">
        <f t="shared" si="5"/>
        <v>0</v>
      </c>
      <c r="S29" s="99"/>
    </row>
    <row r="30" spans="1:19" outlineLevel="2" collapsed="1" x14ac:dyDescent="0.25">
      <c r="A30" s="1"/>
      <c r="B30" s="1"/>
      <c r="C30" s="1" t="s">
        <v>26</v>
      </c>
      <c r="D30" s="1"/>
      <c r="E30" s="1"/>
      <c r="F30" s="2">
        <f t="shared" ref="F30:Q30" si="7">ROUND(SUM(F23:F29),5)</f>
        <v>2000</v>
      </c>
      <c r="G30" s="2">
        <f t="shared" si="7"/>
        <v>26000</v>
      </c>
      <c r="H30" s="2">
        <f t="shared" si="7"/>
        <v>23000</v>
      </c>
      <c r="I30" s="2">
        <f t="shared" si="7"/>
        <v>24000</v>
      </c>
      <c r="J30" s="2">
        <f t="shared" si="7"/>
        <v>33500</v>
      </c>
      <c r="K30" s="2">
        <f t="shared" si="7"/>
        <v>23000</v>
      </c>
      <c r="L30" s="2">
        <f t="shared" si="7"/>
        <v>23000</v>
      </c>
      <c r="M30" s="2">
        <f t="shared" si="7"/>
        <v>23000</v>
      </c>
      <c r="N30" s="2">
        <f t="shared" si="7"/>
        <v>29000</v>
      </c>
      <c r="O30" s="2">
        <f t="shared" si="7"/>
        <v>23500</v>
      </c>
      <c r="P30" s="2">
        <f t="shared" si="7"/>
        <v>23000</v>
      </c>
      <c r="Q30" s="2">
        <f t="shared" si="7"/>
        <v>0</v>
      </c>
      <c r="R30" s="2">
        <f t="shared" si="5"/>
        <v>253000</v>
      </c>
      <c r="S30" s="98">
        <f>R30/$R$38</f>
        <v>2.9103548585058134E-2</v>
      </c>
    </row>
    <row r="31" spans="1:19" hidden="1" outlineLevel="3" x14ac:dyDescent="0.25">
      <c r="A31" s="1"/>
      <c r="B31" s="1"/>
      <c r="C31" s="1" t="s">
        <v>27</v>
      </c>
      <c r="D31" s="1"/>
      <c r="E31" s="1"/>
      <c r="F31" s="2"/>
      <c r="G31" s="2"/>
      <c r="H31" s="2"/>
      <c r="I31" s="2"/>
      <c r="J31" s="2"/>
      <c r="K31" s="2"/>
      <c r="L31" s="2"/>
      <c r="M31" s="2"/>
      <c r="N31" s="2"/>
      <c r="O31" s="2"/>
      <c r="P31" s="2"/>
      <c r="Q31" s="2"/>
      <c r="R31" s="2"/>
      <c r="S31" s="99"/>
    </row>
    <row r="32" spans="1:19" hidden="1" outlineLevel="3" x14ac:dyDescent="0.25">
      <c r="A32" s="1"/>
      <c r="B32" s="1"/>
      <c r="C32" s="1"/>
      <c r="D32" s="1" t="s">
        <v>28</v>
      </c>
      <c r="E32" s="1"/>
      <c r="F32" s="2">
        <f>0</f>
        <v>0</v>
      </c>
      <c r="G32" s="2">
        <f t="shared" ref="G32:Q32" si="8">+F32</f>
        <v>0</v>
      </c>
      <c r="H32" s="2">
        <f t="shared" si="8"/>
        <v>0</v>
      </c>
      <c r="I32" s="2">
        <f t="shared" si="8"/>
        <v>0</v>
      </c>
      <c r="J32" s="2">
        <f t="shared" si="8"/>
        <v>0</v>
      </c>
      <c r="K32" s="2">
        <f t="shared" si="8"/>
        <v>0</v>
      </c>
      <c r="L32" s="2">
        <f t="shared" si="8"/>
        <v>0</v>
      </c>
      <c r="M32" s="2">
        <f t="shared" si="8"/>
        <v>0</v>
      </c>
      <c r="N32" s="2">
        <f t="shared" si="8"/>
        <v>0</v>
      </c>
      <c r="O32" s="2">
        <f t="shared" si="8"/>
        <v>0</v>
      </c>
      <c r="P32" s="2">
        <f t="shared" si="8"/>
        <v>0</v>
      </c>
      <c r="Q32" s="2">
        <f t="shared" si="8"/>
        <v>0</v>
      </c>
      <c r="R32" s="2">
        <f>ROUND(SUM(F32:Q32),5)</f>
        <v>0</v>
      </c>
      <c r="S32" s="99"/>
    </row>
    <row r="33" spans="1:19" hidden="1" outlineLevel="3" x14ac:dyDescent="0.25">
      <c r="A33" s="1"/>
      <c r="B33" s="1"/>
      <c r="C33" s="1"/>
      <c r="D33" s="1" t="s">
        <v>365</v>
      </c>
      <c r="E33" s="1"/>
      <c r="F33" s="2">
        <f>12000/12</f>
        <v>1000</v>
      </c>
      <c r="G33" s="2">
        <f t="shared" ref="G33:Q33" si="9">F33</f>
        <v>1000</v>
      </c>
      <c r="H33" s="2">
        <f t="shared" si="9"/>
        <v>1000</v>
      </c>
      <c r="I33" s="2">
        <f t="shared" si="9"/>
        <v>1000</v>
      </c>
      <c r="J33" s="2">
        <f t="shared" si="9"/>
        <v>1000</v>
      </c>
      <c r="K33" s="2">
        <f t="shared" si="9"/>
        <v>1000</v>
      </c>
      <c r="L33" s="2">
        <f t="shared" si="9"/>
        <v>1000</v>
      </c>
      <c r="M33" s="2">
        <f t="shared" si="9"/>
        <v>1000</v>
      </c>
      <c r="N33" s="2">
        <f t="shared" si="9"/>
        <v>1000</v>
      </c>
      <c r="O33" s="2">
        <f t="shared" si="9"/>
        <v>1000</v>
      </c>
      <c r="P33" s="2">
        <f t="shared" si="9"/>
        <v>1000</v>
      </c>
      <c r="Q33" s="2">
        <f t="shared" si="9"/>
        <v>1000</v>
      </c>
      <c r="R33" s="2">
        <f t="shared" ref="R33:R34" si="10">ROUND(SUM(F33:Q33),5)</f>
        <v>12000</v>
      </c>
      <c r="S33" s="99"/>
    </row>
    <row r="34" spans="1:19" hidden="1" outlineLevel="3" x14ac:dyDescent="0.25">
      <c r="A34" s="1"/>
      <c r="B34" s="1"/>
      <c r="C34" s="1"/>
      <c r="D34" s="1" t="s">
        <v>366</v>
      </c>
      <c r="E34" s="1"/>
      <c r="F34" s="2">
        <f>7500/12</f>
        <v>625</v>
      </c>
      <c r="G34" s="2">
        <f t="shared" ref="G34:Q34" si="11">F34</f>
        <v>625</v>
      </c>
      <c r="H34" s="2">
        <f t="shared" si="11"/>
        <v>625</v>
      </c>
      <c r="I34" s="2">
        <f t="shared" si="11"/>
        <v>625</v>
      </c>
      <c r="J34" s="2">
        <f t="shared" si="11"/>
        <v>625</v>
      </c>
      <c r="K34" s="2">
        <f t="shared" si="11"/>
        <v>625</v>
      </c>
      <c r="L34" s="2">
        <f t="shared" si="11"/>
        <v>625</v>
      </c>
      <c r="M34" s="2">
        <f t="shared" si="11"/>
        <v>625</v>
      </c>
      <c r="N34" s="2">
        <f t="shared" si="11"/>
        <v>625</v>
      </c>
      <c r="O34" s="2">
        <f t="shared" si="11"/>
        <v>625</v>
      </c>
      <c r="P34" s="2">
        <f t="shared" si="11"/>
        <v>625</v>
      </c>
      <c r="Q34" s="2">
        <f t="shared" si="11"/>
        <v>625</v>
      </c>
      <c r="R34" s="2">
        <f t="shared" si="10"/>
        <v>7500</v>
      </c>
      <c r="S34" s="99"/>
    </row>
    <row r="35" spans="1:19" hidden="1" outlineLevel="3" x14ac:dyDescent="0.25">
      <c r="A35" s="1"/>
      <c r="B35" s="1"/>
      <c r="C35" s="1"/>
      <c r="D35" s="1" t="s">
        <v>258</v>
      </c>
      <c r="E35" s="1"/>
      <c r="F35" s="2">
        <v>0</v>
      </c>
      <c r="G35" s="2">
        <f>294350/10</f>
        <v>29435</v>
      </c>
      <c r="H35" s="2">
        <f t="shared" ref="H35:P35" si="12">+G35</f>
        <v>29435</v>
      </c>
      <c r="I35" s="2">
        <f t="shared" si="12"/>
        <v>29435</v>
      </c>
      <c r="J35" s="2">
        <f t="shared" si="12"/>
        <v>29435</v>
      </c>
      <c r="K35" s="2">
        <f t="shared" si="12"/>
        <v>29435</v>
      </c>
      <c r="L35" s="2">
        <f t="shared" si="12"/>
        <v>29435</v>
      </c>
      <c r="M35" s="2">
        <f t="shared" si="12"/>
        <v>29435</v>
      </c>
      <c r="N35" s="2">
        <f t="shared" si="12"/>
        <v>29435</v>
      </c>
      <c r="O35" s="2">
        <f t="shared" si="12"/>
        <v>29435</v>
      </c>
      <c r="P35" s="2">
        <f t="shared" si="12"/>
        <v>29435</v>
      </c>
      <c r="Q35" s="2">
        <v>0</v>
      </c>
      <c r="R35" s="2">
        <f>ROUND(SUM(F35:Q35),5)</f>
        <v>294350</v>
      </c>
      <c r="S35" s="99"/>
    </row>
    <row r="36" spans="1:19" hidden="1" outlineLevel="3" x14ac:dyDescent="0.25">
      <c r="A36" s="1"/>
      <c r="B36" s="1"/>
      <c r="C36" s="1"/>
      <c r="D36" s="1" t="s">
        <v>333</v>
      </c>
      <c r="E36" s="1"/>
      <c r="F36" s="2">
        <v>0</v>
      </c>
      <c r="G36" s="2">
        <v>0</v>
      </c>
      <c r="H36" s="2">
        <v>0</v>
      </c>
      <c r="I36" s="2">
        <v>0</v>
      </c>
      <c r="J36" s="2">
        <v>0</v>
      </c>
      <c r="K36" s="2">
        <v>0</v>
      </c>
      <c r="L36" s="2">
        <v>0</v>
      </c>
      <c r="M36" s="2">
        <v>0</v>
      </c>
      <c r="N36" s="2">
        <v>0</v>
      </c>
      <c r="O36" s="2">
        <v>0</v>
      </c>
      <c r="P36" s="2">
        <v>0</v>
      </c>
      <c r="Q36" s="2">
        <v>0</v>
      </c>
      <c r="R36" s="2">
        <f>ROUND(SUM(F36:Q36),5)</f>
        <v>0</v>
      </c>
      <c r="S36" s="99"/>
    </row>
    <row r="37" spans="1:19" ht="15.75" outlineLevel="2" collapsed="1" thickBot="1" x14ac:dyDescent="0.3">
      <c r="A37" s="1"/>
      <c r="B37" s="1"/>
      <c r="C37" s="1" t="s">
        <v>29</v>
      </c>
      <c r="D37" s="1"/>
      <c r="E37" s="1"/>
      <c r="F37" s="3">
        <f>ROUND(SUM(F31:F36),5)</f>
        <v>1625</v>
      </c>
      <c r="G37" s="3">
        <f t="shared" ref="G37:Q37" si="13">ROUND(SUM(G31:G36),5)</f>
        <v>31060</v>
      </c>
      <c r="H37" s="3">
        <f t="shared" si="13"/>
        <v>31060</v>
      </c>
      <c r="I37" s="3">
        <f t="shared" si="13"/>
        <v>31060</v>
      </c>
      <c r="J37" s="3">
        <f t="shared" si="13"/>
        <v>31060</v>
      </c>
      <c r="K37" s="3">
        <f t="shared" si="13"/>
        <v>31060</v>
      </c>
      <c r="L37" s="3">
        <f t="shared" si="13"/>
        <v>31060</v>
      </c>
      <c r="M37" s="3">
        <f t="shared" si="13"/>
        <v>31060</v>
      </c>
      <c r="N37" s="3">
        <f t="shared" si="13"/>
        <v>31060</v>
      </c>
      <c r="O37" s="3">
        <f t="shared" si="13"/>
        <v>31060</v>
      </c>
      <c r="P37" s="3">
        <f t="shared" si="13"/>
        <v>31060</v>
      </c>
      <c r="Q37" s="3">
        <f t="shared" si="13"/>
        <v>1625</v>
      </c>
      <c r="R37" s="3">
        <f>ROUND(SUM(F37:Q37),5)</f>
        <v>313850</v>
      </c>
      <c r="S37" s="98">
        <f>R37/$R$38</f>
        <v>3.6103354638025671E-2</v>
      </c>
    </row>
    <row r="38" spans="1:19" outlineLevel="1" x14ac:dyDescent="0.25">
      <c r="A38" s="1"/>
      <c r="B38" s="1" t="s">
        <v>30</v>
      </c>
      <c r="C38" s="1"/>
      <c r="D38" s="1"/>
      <c r="E38" s="1"/>
      <c r="F38" s="2">
        <f>ROUND(F2+SUM(F18:F19)+F22+F30+F37,5)</f>
        <v>680812.33334000001</v>
      </c>
      <c r="G38" s="2">
        <f t="shared" ref="G38:Q38" si="14">ROUND(G2+SUM(G18:G19)+G22+G30+G37,5)</f>
        <v>734247.33334000001</v>
      </c>
      <c r="H38" s="2">
        <f t="shared" si="14"/>
        <v>731247.33334000001</v>
      </c>
      <c r="I38" s="2">
        <f t="shared" si="14"/>
        <v>732247.33334000001</v>
      </c>
      <c r="J38" s="2">
        <f t="shared" si="14"/>
        <v>741747.33334000001</v>
      </c>
      <c r="K38" s="2">
        <f t="shared" si="14"/>
        <v>731247.33334000001</v>
      </c>
      <c r="L38" s="2">
        <f t="shared" si="14"/>
        <v>731247.33334000001</v>
      </c>
      <c r="M38" s="2">
        <f t="shared" si="14"/>
        <v>731247.33334000001</v>
      </c>
      <c r="N38" s="2">
        <f t="shared" si="14"/>
        <v>737247.33334000001</v>
      </c>
      <c r="O38" s="2">
        <f t="shared" si="14"/>
        <v>731747.33334000001</v>
      </c>
      <c r="P38" s="2">
        <f t="shared" si="14"/>
        <v>731247.33334000001</v>
      </c>
      <c r="Q38" s="2">
        <f t="shared" si="14"/>
        <v>678812.33334000001</v>
      </c>
      <c r="R38" s="2">
        <f>ROUND(SUM(F38:Q38),5)</f>
        <v>8693098.0000800006</v>
      </c>
      <c r="S38" s="102">
        <f>+S18+S19+S22+S30+S37</f>
        <v>0.99999999999539857</v>
      </c>
    </row>
    <row r="39" spans="1:19" outlineLevel="2" x14ac:dyDescent="0.25">
      <c r="A39" s="1"/>
      <c r="B39" s="1" t="s">
        <v>31</v>
      </c>
      <c r="C39" s="1"/>
      <c r="D39" s="1"/>
      <c r="E39" s="1"/>
      <c r="F39" s="2"/>
      <c r="G39" s="2"/>
      <c r="H39" s="2"/>
      <c r="I39" s="2"/>
      <c r="J39" s="2"/>
      <c r="K39" s="2"/>
      <c r="L39" s="2"/>
      <c r="M39" s="2"/>
      <c r="N39" s="2"/>
      <c r="O39" s="2"/>
      <c r="P39" s="2"/>
      <c r="Q39" s="2"/>
      <c r="R39" s="2"/>
      <c r="S39" s="100"/>
    </row>
    <row r="40" spans="1:19" outlineLevel="3" x14ac:dyDescent="0.25">
      <c r="A40" s="1"/>
      <c r="B40" s="1"/>
      <c r="C40" s="1" t="s">
        <v>32</v>
      </c>
      <c r="D40" s="1"/>
      <c r="E40" s="1"/>
      <c r="F40" s="2"/>
      <c r="G40" s="2"/>
      <c r="H40" s="2"/>
      <c r="I40" s="2"/>
      <c r="J40" s="2"/>
      <c r="K40" s="2"/>
      <c r="L40" s="2"/>
      <c r="M40" s="2"/>
      <c r="N40" s="2"/>
      <c r="O40" s="2"/>
      <c r="P40" s="2"/>
      <c r="Q40" s="2"/>
      <c r="R40" s="2"/>
      <c r="S40" s="100"/>
    </row>
    <row r="41" spans="1:19" outlineLevel="4" x14ac:dyDescent="0.25">
      <c r="A41" s="1"/>
      <c r="B41" s="1"/>
      <c r="C41" s="1"/>
      <c r="D41" s="1" t="s">
        <v>33</v>
      </c>
      <c r="E41" s="1"/>
      <c r="F41" s="2"/>
      <c r="G41" s="2"/>
      <c r="H41" s="2"/>
      <c r="I41" s="2"/>
      <c r="J41" s="2"/>
      <c r="K41" s="2"/>
      <c r="L41" s="2"/>
      <c r="M41" s="2"/>
      <c r="N41" s="2"/>
      <c r="O41" s="2"/>
      <c r="P41" s="2"/>
      <c r="Q41" s="2"/>
      <c r="R41" s="2"/>
      <c r="S41" s="100"/>
    </row>
    <row r="42" spans="1:19" outlineLevel="4" x14ac:dyDescent="0.25">
      <c r="A42" s="1"/>
      <c r="B42" s="1"/>
      <c r="C42" s="1"/>
      <c r="D42" s="1"/>
      <c r="E42" s="1" t="s">
        <v>34</v>
      </c>
      <c r="F42" s="2">
        <f>(Salaries!I48+Salaries!I89+Salaries!I58)/12</f>
        <v>256218.9375</v>
      </c>
      <c r="G42" s="2">
        <f t="shared" ref="G42:Q42" si="15">+F42</f>
        <v>256218.9375</v>
      </c>
      <c r="H42" s="2">
        <f t="shared" si="15"/>
        <v>256218.9375</v>
      </c>
      <c r="I42" s="2">
        <f t="shared" si="15"/>
        <v>256218.9375</v>
      </c>
      <c r="J42" s="2">
        <f t="shared" si="15"/>
        <v>256218.9375</v>
      </c>
      <c r="K42" s="2">
        <f t="shared" si="15"/>
        <v>256218.9375</v>
      </c>
      <c r="L42" s="2">
        <f t="shared" si="15"/>
        <v>256218.9375</v>
      </c>
      <c r="M42" s="2">
        <f t="shared" si="15"/>
        <v>256218.9375</v>
      </c>
      <c r="N42" s="2">
        <f t="shared" si="15"/>
        <v>256218.9375</v>
      </c>
      <c r="O42" s="2">
        <f t="shared" si="15"/>
        <v>256218.9375</v>
      </c>
      <c r="P42" s="2">
        <f t="shared" si="15"/>
        <v>256218.9375</v>
      </c>
      <c r="Q42" s="2">
        <f t="shared" si="15"/>
        <v>256218.9375</v>
      </c>
      <c r="R42" s="2">
        <f t="shared" ref="R42:R57" si="16">ROUND(SUM(F42:Q42),5)</f>
        <v>3074627.25</v>
      </c>
      <c r="S42" s="100">
        <f t="shared" ref="S42:S56" si="17">R42/$R$57</f>
        <v>0.76726016890661053</v>
      </c>
    </row>
    <row r="43" spans="1:19" outlineLevel="4" x14ac:dyDescent="0.25">
      <c r="A43" s="1"/>
      <c r="B43" s="1"/>
      <c r="C43" s="1"/>
      <c r="D43" s="1"/>
      <c r="E43" s="1" t="s">
        <v>310</v>
      </c>
      <c r="F43" s="2">
        <v>0</v>
      </c>
      <c r="G43" s="2">
        <f t="shared" ref="G43:Q43" si="18">+F43</f>
        <v>0</v>
      </c>
      <c r="H43" s="2">
        <f t="shared" si="18"/>
        <v>0</v>
      </c>
      <c r="I43" s="2">
        <f t="shared" si="18"/>
        <v>0</v>
      </c>
      <c r="J43" s="2">
        <f t="shared" si="18"/>
        <v>0</v>
      </c>
      <c r="K43" s="2">
        <f t="shared" si="18"/>
        <v>0</v>
      </c>
      <c r="L43" s="2">
        <f t="shared" si="18"/>
        <v>0</v>
      </c>
      <c r="M43" s="2">
        <f t="shared" si="18"/>
        <v>0</v>
      </c>
      <c r="N43" s="2">
        <f t="shared" si="18"/>
        <v>0</v>
      </c>
      <c r="O43" s="2">
        <f t="shared" si="18"/>
        <v>0</v>
      </c>
      <c r="P43" s="2">
        <f t="shared" si="18"/>
        <v>0</v>
      </c>
      <c r="Q43" s="2">
        <f t="shared" si="18"/>
        <v>0</v>
      </c>
      <c r="R43" s="2">
        <f t="shared" si="16"/>
        <v>0</v>
      </c>
      <c r="S43" s="100">
        <f t="shared" si="17"/>
        <v>0</v>
      </c>
    </row>
    <row r="44" spans="1:19" outlineLevel="4" x14ac:dyDescent="0.25">
      <c r="A44" s="1"/>
      <c r="B44" s="1"/>
      <c r="C44" s="1"/>
      <c r="D44" s="1"/>
      <c r="E44" s="1" t="s">
        <v>331</v>
      </c>
      <c r="F44" s="2">
        <f>Salaries!I59/12</f>
        <v>0</v>
      </c>
      <c r="G44" s="2">
        <f>Salaries!I84/10</f>
        <v>3000</v>
      </c>
      <c r="H44" s="2">
        <f t="shared" ref="H44" si="19">+G44</f>
        <v>3000</v>
      </c>
      <c r="I44" s="2">
        <f t="shared" ref="I44" si="20">+H44</f>
        <v>3000</v>
      </c>
      <c r="J44" s="2">
        <f t="shared" ref="J44" si="21">+I44</f>
        <v>3000</v>
      </c>
      <c r="K44" s="2">
        <f t="shared" ref="K44" si="22">+J44</f>
        <v>3000</v>
      </c>
      <c r="L44" s="2">
        <f t="shared" ref="L44" si="23">+K44</f>
        <v>3000</v>
      </c>
      <c r="M44" s="2">
        <f t="shared" ref="M44" si="24">+L44</f>
        <v>3000</v>
      </c>
      <c r="N44" s="2">
        <f t="shared" ref="N44" si="25">+M44</f>
        <v>3000</v>
      </c>
      <c r="O44" s="2">
        <f t="shared" ref="O44" si="26">+N44</f>
        <v>3000</v>
      </c>
      <c r="P44" s="2">
        <f t="shared" ref="P44" si="27">+O44</f>
        <v>3000</v>
      </c>
      <c r="Q44" s="2">
        <v>0</v>
      </c>
      <c r="R44" s="2">
        <f t="shared" ref="R44" si="28">ROUND(SUM(F44:Q44),5)</f>
        <v>30000</v>
      </c>
      <c r="S44" s="100">
        <f t="shared" si="17"/>
        <v>7.4863725569329796E-3</v>
      </c>
    </row>
    <row r="45" spans="1:19" outlineLevel="4" x14ac:dyDescent="0.25">
      <c r="A45" s="1"/>
      <c r="B45" s="1"/>
      <c r="C45" s="1"/>
      <c r="D45" s="1"/>
      <c r="E45" s="1" t="s">
        <v>35</v>
      </c>
      <c r="F45" s="2">
        <f>(Salaries!I85-Salaries!I84)/12</f>
        <v>14512.442499999999</v>
      </c>
      <c r="G45" s="2">
        <f t="shared" ref="G45:Q45" si="29">+F45</f>
        <v>14512.442499999999</v>
      </c>
      <c r="H45" s="2">
        <f t="shared" si="29"/>
        <v>14512.442499999999</v>
      </c>
      <c r="I45" s="2">
        <f t="shared" si="29"/>
        <v>14512.442499999999</v>
      </c>
      <c r="J45" s="2">
        <f t="shared" si="29"/>
        <v>14512.442499999999</v>
      </c>
      <c r="K45" s="2">
        <f t="shared" si="29"/>
        <v>14512.442499999999</v>
      </c>
      <c r="L45" s="2">
        <f t="shared" si="29"/>
        <v>14512.442499999999</v>
      </c>
      <c r="M45" s="2">
        <f t="shared" si="29"/>
        <v>14512.442499999999</v>
      </c>
      <c r="N45" s="2">
        <f t="shared" si="29"/>
        <v>14512.442499999999</v>
      </c>
      <c r="O45" s="2">
        <f t="shared" si="29"/>
        <v>14512.442499999999</v>
      </c>
      <c r="P45" s="2">
        <f t="shared" si="29"/>
        <v>14512.442499999999</v>
      </c>
      <c r="Q45" s="2">
        <f t="shared" si="29"/>
        <v>14512.442499999999</v>
      </c>
      <c r="R45" s="2">
        <f t="shared" si="16"/>
        <v>174149.31</v>
      </c>
      <c r="S45" s="100">
        <f t="shared" si="17"/>
        <v>4.3458220506427142E-2</v>
      </c>
    </row>
    <row r="46" spans="1:19" outlineLevel="4" x14ac:dyDescent="0.25">
      <c r="A46" s="1"/>
      <c r="B46" s="1"/>
      <c r="C46" s="1"/>
      <c r="D46" s="1"/>
      <c r="E46" s="1" t="s">
        <v>345</v>
      </c>
      <c r="F46" s="2">
        <f>SUM(Salaries!I48,Salaries!I58,Salaries!I61:I69,Salaries!I85,Salaries!I89:I91,Salaries!I104)*U2/12</f>
        <v>11092.906125</v>
      </c>
      <c r="G46" s="2">
        <f>F46</f>
        <v>11092.906125</v>
      </c>
      <c r="H46" s="2">
        <f t="shared" ref="H46:Q46" si="30">G46</f>
        <v>11092.906125</v>
      </c>
      <c r="I46" s="2">
        <f t="shared" si="30"/>
        <v>11092.906125</v>
      </c>
      <c r="J46" s="2">
        <f t="shared" si="30"/>
        <v>11092.906125</v>
      </c>
      <c r="K46" s="2">
        <f t="shared" si="30"/>
        <v>11092.906125</v>
      </c>
      <c r="L46" s="2">
        <f t="shared" si="30"/>
        <v>11092.906125</v>
      </c>
      <c r="M46" s="2">
        <f t="shared" si="30"/>
        <v>11092.906125</v>
      </c>
      <c r="N46" s="2">
        <f t="shared" si="30"/>
        <v>11092.906125</v>
      </c>
      <c r="O46" s="2">
        <f t="shared" si="30"/>
        <v>11092.906125</v>
      </c>
      <c r="P46" s="2">
        <f t="shared" si="30"/>
        <v>11092.906125</v>
      </c>
      <c r="Q46" s="2">
        <f t="shared" si="30"/>
        <v>11092.906125</v>
      </c>
      <c r="R46" s="2">
        <f t="shared" ref="R46" si="31">ROUND(SUM(F46:Q46),5)</f>
        <v>133114.87349999999</v>
      </c>
      <c r="S46" s="100">
        <f t="shared" si="17"/>
        <v>3.3218251196333502E-2</v>
      </c>
    </row>
    <row r="47" spans="1:19" outlineLevel="4" x14ac:dyDescent="0.25">
      <c r="A47" s="1"/>
      <c r="B47" s="1"/>
      <c r="C47" s="1"/>
      <c r="D47" s="1"/>
      <c r="E47" s="1" t="s">
        <v>36</v>
      </c>
      <c r="F47" s="2">
        <f>(+F42+F43+F44+F45)*0.062</f>
        <v>16785.345560000002</v>
      </c>
      <c r="G47" s="2">
        <f t="shared" ref="G47:Q47" si="32">(+G42+G43+G44+G45)*0.062</f>
        <v>16971.345560000002</v>
      </c>
      <c r="H47" s="2">
        <f t="shared" si="32"/>
        <v>16971.345560000002</v>
      </c>
      <c r="I47" s="2">
        <f t="shared" si="32"/>
        <v>16971.345560000002</v>
      </c>
      <c r="J47" s="2">
        <f t="shared" si="32"/>
        <v>16971.345560000002</v>
      </c>
      <c r="K47" s="2">
        <f t="shared" si="32"/>
        <v>16971.345560000002</v>
      </c>
      <c r="L47" s="2">
        <f t="shared" si="32"/>
        <v>16971.345560000002</v>
      </c>
      <c r="M47" s="2">
        <f t="shared" si="32"/>
        <v>16971.345560000002</v>
      </c>
      <c r="N47" s="2">
        <f t="shared" si="32"/>
        <v>16971.345560000002</v>
      </c>
      <c r="O47" s="2">
        <f t="shared" si="32"/>
        <v>16971.345560000002</v>
      </c>
      <c r="P47" s="2">
        <f t="shared" si="32"/>
        <v>16971.345560000002</v>
      </c>
      <c r="Q47" s="2">
        <f t="shared" si="32"/>
        <v>16785.345560000002</v>
      </c>
      <c r="R47" s="2">
        <f t="shared" si="16"/>
        <v>203284.14671999999</v>
      </c>
      <c r="S47" s="100">
        <f t="shared" si="17"/>
        <v>5.0728695242138182E-2</v>
      </c>
    </row>
    <row r="48" spans="1:19" outlineLevel="4" x14ac:dyDescent="0.25">
      <c r="A48" s="1"/>
      <c r="B48" s="1"/>
      <c r="C48" s="1"/>
      <c r="D48" s="1"/>
      <c r="E48" s="1" t="s">
        <v>37</v>
      </c>
      <c r="F48" s="2">
        <f>(+F42+F43+F45)*0.07</f>
        <v>18951.196600000003</v>
      </c>
      <c r="G48" s="2">
        <f t="shared" ref="G48:Q48" si="33">+F48</f>
        <v>18951.196600000003</v>
      </c>
      <c r="H48" s="2">
        <f t="shared" si="33"/>
        <v>18951.196600000003</v>
      </c>
      <c r="I48" s="2">
        <f t="shared" si="33"/>
        <v>18951.196600000003</v>
      </c>
      <c r="J48" s="2">
        <f t="shared" si="33"/>
        <v>18951.196600000003</v>
      </c>
      <c r="K48" s="2">
        <f t="shared" si="33"/>
        <v>18951.196600000003</v>
      </c>
      <c r="L48" s="2">
        <f t="shared" si="33"/>
        <v>18951.196600000003</v>
      </c>
      <c r="M48" s="2">
        <f t="shared" si="33"/>
        <v>18951.196600000003</v>
      </c>
      <c r="N48" s="2">
        <f t="shared" si="33"/>
        <v>18951.196600000003</v>
      </c>
      <c r="O48" s="2">
        <f t="shared" si="33"/>
        <v>18951.196600000003</v>
      </c>
      <c r="P48" s="2">
        <f t="shared" si="33"/>
        <v>18951.196600000003</v>
      </c>
      <c r="Q48" s="2">
        <f t="shared" si="33"/>
        <v>18951.196600000003</v>
      </c>
      <c r="R48" s="2">
        <f t="shared" si="16"/>
        <v>227414.35920000001</v>
      </c>
      <c r="S48" s="100">
        <f t="shared" si="17"/>
        <v>5.6750287258912638E-2</v>
      </c>
    </row>
    <row r="49" spans="1:19" outlineLevel="4" x14ac:dyDescent="0.25">
      <c r="A49" s="1"/>
      <c r="B49" s="1"/>
      <c r="C49" s="1"/>
      <c r="D49" s="1"/>
      <c r="E49" s="1" t="s">
        <v>38</v>
      </c>
      <c r="F49" s="2">
        <f>28*378/12</f>
        <v>882</v>
      </c>
      <c r="G49" s="2">
        <f t="shared" ref="G49:Q49" si="34">28*378/12</f>
        <v>882</v>
      </c>
      <c r="H49" s="2">
        <f t="shared" si="34"/>
        <v>882</v>
      </c>
      <c r="I49" s="2">
        <f t="shared" si="34"/>
        <v>882</v>
      </c>
      <c r="J49" s="2">
        <f t="shared" si="34"/>
        <v>882</v>
      </c>
      <c r="K49" s="2">
        <f t="shared" si="34"/>
        <v>882</v>
      </c>
      <c r="L49" s="2">
        <f t="shared" si="34"/>
        <v>882</v>
      </c>
      <c r="M49" s="2">
        <f t="shared" si="34"/>
        <v>882</v>
      </c>
      <c r="N49" s="2">
        <f t="shared" si="34"/>
        <v>882</v>
      </c>
      <c r="O49" s="2">
        <f t="shared" si="34"/>
        <v>882</v>
      </c>
      <c r="P49" s="2">
        <f t="shared" si="34"/>
        <v>882</v>
      </c>
      <c r="Q49" s="2">
        <f t="shared" si="34"/>
        <v>882</v>
      </c>
      <c r="R49" s="2">
        <f t="shared" si="16"/>
        <v>10584</v>
      </c>
      <c r="S49" s="100">
        <f t="shared" si="17"/>
        <v>2.6411922380859551E-3</v>
      </c>
    </row>
    <row r="50" spans="1:19" outlineLevel="4" x14ac:dyDescent="0.25">
      <c r="A50" s="1"/>
      <c r="B50" s="1"/>
      <c r="C50" s="1"/>
      <c r="D50" s="1"/>
      <c r="E50" s="1" t="s">
        <v>39</v>
      </c>
      <c r="F50" s="2">
        <f>(+F42+F43+F45)*0.0145</f>
        <v>3925.6050100000002</v>
      </c>
      <c r="G50" s="2">
        <f t="shared" ref="G50:Q50" si="35">(+G42+G43+G45)*0.0145</f>
        <v>3925.6050100000002</v>
      </c>
      <c r="H50" s="2">
        <f t="shared" si="35"/>
        <v>3925.6050100000002</v>
      </c>
      <c r="I50" s="2">
        <f t="shared" si="35"/>
        <v>3925.6050100000002</v>
      </c>
      <c r="J50" s="2">
        <f t="shared" si="35"/>
        <v>3925.6050100000002</v>
      </c>
      <c r="K50" s="2">
        <f t="shared" si="35"/>
        <v>3925.6050100000002</v>
      </c>
      <c r="L50" s="2">
        <f t="shared" si="35"/>
        <v>3925.6050100000002</v>
      </c>
      <c r="M50" s="2">
        <f t="shared" si="35"/>
        <v>3925.6050100000002</v>
      </c>
      <c r="N50" s="2">
        <f t="shared" si="35"/>
        <v>3925.6050100000002</v>
      </c>
      <c r="O50" s="2">
        <f t="shared" si="35"/>
        <v>3925.6050100000002</v>
      </c>
      <c r="P50" s="2">
        <f t="shared" si="35"/>
        <v>3925.6050100000002</v>
      </c>
      <c r="Q50" s="2">
        <f t="shared" si="35"/>
        <v>3925.6050100000002</v>
      </c>
      <c r="R50" s="2">
        <f t="shared" si="16"/>
        <v>47107.260119999999</v>
      </c>
      <c r="S50" s="100">
        <f t="shared" si="17"/>
        <v>1.1755416646489046E-2</v>
      </c>
    </row>
    <row r="51" spans="1:19" outlineLevel="4" x14ac:dyDescent="0.25">
      <c r="A51" s="1"/>
      <c r="B51" s="1"/>
      <c r="C51" s="1"/>
      <c r="D51" s="1"/>
      <c r="E51" s="1" t="s">
        <v>40</v>
      </c>
      <c r="F51" s="2">
        <v>0</v>
      </c>
      <c r="G51" s="2">
        <v>1500</v>
      </c>
      <c r="H51" s="2">
        <f>G51</f>
        <v>1500</v>
      </c>
      <c r="I51" s="2">
        <f t="shared" ref="I51" si="36">+H51</f>
        <v>1500</v>
      </c>
      <c r="J51" s="2">
        <f t="shared" ref="J51" si="37">+I51</f>
        <v>1500</v>
      </c>
      <c r="K51" s="2">
        <f t="shared" ref="K51" si="38">+J51</f>
        <v>1500</v>
      </c>
      <c r="L51" s="2">
        <f t="shared" ref="L51" si="39">+K51</f>
        <v>1500</v>
      </c>
      <c r="M51" s="2">
        <f t="shared" ref="M51" si="40">+L51</f>
        <v>1500</v>
      </c>
      <c r="N51" s="2">
        <f t="shared" ref="N51" si="41">+M51</f>
        <v>1500</v>
      </c>
      <c r="O51" s="2">
        <f t="shared" ref="O51" si="42">+N51</f>
        <v>1500</v>
      </c>
      <c r="P51" s="2">
        <f t="shared" ref="P51" si="43">+O51</f>
        <v>1500</v>
      </c>
      <c r="Q51" s="2">
        <v>0</v>
      </c>
      <c r="R51" s="2">
        <f t="shared" si="16"/>
        <v>15000</v>
      </c>
      <c r="S51" s="100">
        <f t="shared" si="17"/>
        <v>3.7431862784664898E-3</v>
      </c>
    </row>
    <row r="52" spans="1:19" outlineLevel="4" x14ac:dyDescent="0.25">
      <c r="A52" s="1"/>
      <c r="B52" s="1"/>
      <c r="C52" s="1"/>
      <c r="D52" s="1"/>
      <c r="E52" s="1" t="s">
        <v>41</v>
      </c>
      <c r="F52" s="2">
        <v>0</v>
      </c>
      <c r="G52" s="2">
        <v>25000</v>
      </c>
      <c r="H52" s="2">
        <v>0</v>
      </c>
      <c r="I52" s="2">
        <v>0</v>
      </c>
      <c r="J52" s="2">
        <v>0</v>
      </c>
      <c r="K52" s="2">
        <v>0</v>
      </c>
      <c r="L52" s="2">
        <v>0</v>
      </c>
      <c r="M52" s="2">
        <v>0</v>
      </c>
      <c r="N52" s="2">
        <v>0</v>
      </c>
      <c r="O52" s="2">
        <v>0</v>
      </c>
      <c r="P52" s="2">
        <v>0</v>
      </c>
      <c r="Q52" s="2">
        <v>0</v>
      </c>
      <c r="R52" s="2">
        <f t="shared" si="16"/>
        <v>25000</v>
      </c>
      <c r="S52" s="100">
        <f t="shared" si="17"/>
        <v>6.2386437974441501E-3</v>
      </c>
    </row>
    <row r="53" spans="1:19" outlineLevel="4" x14ac:dyDescent="0.25">
      <c r="A53" s="1"/>
      <c r="B53" s="1"/>
      <c r="C53" s="1"/>
      <c r="D53" s="1"/>
      <c r="E53" s="1" t="s">
        <v>359</v>
      </c>
      <c r="F53" s="2">
        <v>0</v>
      </c>
      <c r="G53" s="2">
        <v>25000</v>
      </c>
      <c r="H53" s="2">
        <v>0</v>
      </c>
      <c r="I53" s="2">
        <v>0</v>
      </c>
      <c r="J53" s="2">
        <v>0</v>
      </c>
      <c r="K53" s="2">
        <v>0</v>
      </c>
      <c r="L53" s="2">
        <v>0</v>
      </c>
      <c r="M53" s="2">
        <v>0</v>
      </c>
      <c r="N53" s="2">
        <v>0</v>
      </c>
      <c r="O53" s="2">
        <v>0</v>
      </c>
      <c r="P53" s="2">
        <v>0</v>
      </c>
      <c r="Q53" s="2">
        <v>0</v>
      </c>
      <c r="R53" s="2">
        <f t="shared" ref="R53" si="44">ROUND(SUM(F53:Q53),5)</f>
        <v>25000</v>
      </c>
      <c r="S53" s="100">
        <f t="shared" si="17"/>
        <v>6.2386437974441501E-3</v>
      </c>
    </row>
    <row r="54" spans="1:19" outlineLevel="4" x14ac:dyDescent="0.25">
      <c r="A54" s="1"/>
      <c r="B54" s="1"/>
      <c r="C54" s="1"/>
      <c r="D54" s="1"/>
      <c r="E54" s="1" t="s">
        <v>42</v>
      </c>
      <c r="F54" s="2">
        <v>0</v>
      </c>
      <c r="G54" s="2">
        <v>500</v>
      </c>
      <c r="H54" s="2">
        <f t="shared" ref="H54:P54" si="45">+G54</f>
        <v>500</v>
      </c>
      <c r="I54" s="2">
        <f t="shared" si="45"/>
        <v>500</v>
      </c>
      <c r="J54" s="2">
        <f t="shared" si="45"/>
        <v>500</v>
      </c>
      <c r="K54" s="2">
        <f t="shared" si="45"/>
        <v>500</v>
      </c>
      <c r="L54" s="2">
        <f t="shared" si="45"/>
        <v>500</v>
      </c>
      <c r="M54" s="2">
        <f t="shared" si="45"/>
        <v>500</v>
      </c>
      <c r="N54" s="2">
        <f t="shared" si="45"/>
        <v>500</v>
      </c>
      <c r="O54" s="2">
        <f t="shared" si="45"/>
        <v>500</v>
      </c>
      <c r="P54" s="2">
        <f t="shared" si="45"/>
        <v>500</v>
      </c>
      <c r="Q54" s="2">
        <v>0</v>
      </c>
      <c r="R54" s="2">
        <f t="shared" si="16"/>
        <v>5000</v>
      </c>
      <c r="S54" s="100">
        <f t="shared" si="17"/>
        <v>1.2477287594888299E-3</v>
      </c>
    </row>
    <row r="55" spans="1:19" outlineLevel="4" x14ac:dyDescent="0.25">
      <c r="A55" s="1"/>
      <c r="B55" s="1"/>
      <c r="C55" s="1"/>
      <c r="D55" s="1"/>
      <c r="E55" s="1" t="s">
        <v>304</v>
      </c>
      <c r="F55" s="2">
        <v>0</v>
      </c>
      <c r="G55" s="2">
        <v>15000</v>
      </c>
      <c r="H55" s="2">
        <v>20000</v>
      </c>
      <c r="I55" s="2">
        <v>0</v>
      </c>
      <c r="J55" s="2">
        <v>0</v>
      </c>
      <c r="K55" s="2">
        <f t="shared" ref="K55:P55" si="46">+J55</f>
        <v>0</v>
      </c>
      <c r="L55" s="2">
        <f t="shared" si="46"/>
        <v>0</v>
      </c>
      <c r="M55" s="2">
        <f t="shared" si="46"/>
        <v>0</v>
      </c>
      <c r="N55" s="2">
        <f t="shared" si="46"/>
        <v>0</v>
      </c>
      <c r="O55" s="2">
        <f t="shared" si="46"/>
        <v>0</v>
      </c>
      <c r="P55" s="2">
        <f t="shared" si="46"/>
        <v>0</v>
      </c>
      <c r="Q55" s="2">
        <v>0</v>
      </c>
      <c r="R55" s="2">
        <f t="shared" si="16"/>
        <v>35000</v>
      </c>
      <c r="S55" s="100">
        <f t="shared" si="17"/>
        <v>8.73410131642181E-3</v>
      </c>
    </row>
    <row r="56" spans="1:19" ht="15.75" outlineLevel="4" thickBot="1" x14ac:dyDescent="0.3">
      <c r="A56" s="1"/>
      <c r="B56" s="1"/>
      <c r="C56" s="1"/>
      <c r="D56" s="1"/>
      <c r="E56" s="1" t="s">
        <v>43</v>
      </c>
      <c r="F56" s="3">
        <f>2000/12</f>
        <v>166.66666666666666</v>
      </c>
      <c r="G56" s="3">
        <f t="shared" ref="G56:Q56" si="47">F56</f>
        <v>166.66666666666666</v>
      </c>
      <c r="H56" s="3">
        <f t="shared" si="47"/>
        <v>166.66666666666666</v>
      </c>
      <c r="I56" s="3">
        <f t="shared" si="47"/>
        <v>166.66666666666666</v>
      </c>
      <c r="J56" s="3">
        <f t="shared" si="47"/>
        <v>166.66666666666666</v>
      </c>
      <c r="K56" s="3">
        <f t="shared" si="47"/>
        <v>166.66666666666666</v>
      </c>
      <c r="L56" s="3">
        <f t="shared" si="47"/>
        <v>166.66666666666666</v>
      </c>
      <c r="M56" s="3">
        <f t="shared" si="47"/>
        <v>166.66666666666666</v>
      </c>
      <c r="N56" s="3">
        <f t="shared" si="47"/>
        <v>166.66666666666666</v>
      </c>
      <c r="O56" s="3">
        <f t="shared" si="47"/>
        <v>166.66666666666666</v>
      </c>
      <c r="P56" s="3">
        <f t="shared" si="47"/>
        <v>166.66666666666666</v>
      </c>
      <c r="Q56" s="3">
        <f t="shared" si="47"/>
        <v>166.66666666666666</v>
      </c>
      <c r="R56" s="3">
        <f t="shared" si="16"/>
        <v>2000</v>
      </c>
      <c r="S56" s="100">
        <f t="shared" si="17"/>
        <v>4.9909150379553199E-4</v>
      </c>
    </row>
    <row r="57" spans="1:19" outlineLevel="3" x14ac:dyDescent="0.25">
      <c r="A57" s="1"/>
      <c r="B57" s="1"/>
      <c r="C57" s="1"/>
      <c r="D57" s="1" t="s">
        <v>44</v>
      </c>
      <c r="E57" s="1"/>
      <c r="F57" s="2">
        <f t="shared" ref="F57:Q57" si="48">ROUND(SUM(F41:F56),5)</f>
        <v>322535.09996000002</v>
      </c>
      <c r="G57" s="2">
        <f t="shared" si="48"/>
        <v>392721.09996000002</v>
      </c>
      <c r="H57" s="2">
        <f t="shared" si="48"/>
        <v>347721.09996000002</v>
      </c>
      <c r="I57" s="2">
        <f t="shared" si="48"/>
        <v>327721.09996000002</v>
      </c>
      <c r="J57" s="2">
        <f t="shared" si="48"/>
        <v>327721.09996000002</v>
      </c>
      <c r="K57" s="2">
        <f t="shared" si="48"/>
        <v>327721.09996000002</v>
      </c>
      <c r="L57" s="2">
        <f t="shared" si="48"/>
        <v>327721.09996000002</v>
      </c>
      <c r="M57" s="2">
        <f t="shared" si="48"/>
        <v>327721.09996000002</v>
      </c>
      <c r="N57" s="2">
        <f t="shared" si="48"/>
        <v>327721.09996000002</v>
      </c>
      <c r="O57" s="2">
        <f t="shared" si="48"/>
        <v>327721.09996000002</v>
      </c>
      <c r="P57" s="2">
        <f t="shared" si="48"/>
        <v>327721.09996000002</v>
      </c>
      <c r="Q57" s="2">
        <f t="shared" si="48"/>
        <v>322535.09996000002</v>
      </c>
      <c r="R57" s="2">
        <f t="shared" si="16"/>
        <v>4007281.1995199998</v>
      </c>
      <c r="S57" s="102">
        <f>SUM(S42:S56)</f>
        <v>1.0000000000049909</v>
      </c>
    </row>
    <row r="58" spans="1:19" outlineLevel="4" x14ac:dyDescent="0.25">
      <c r="A58" s="1"/>
      <c r="B58" s="1"/>
      <c r="C58" s="1"/>
      <c r="D58" s="1" t="s">
        <v>45</v>
      </c>
      <c r="E58" s="1"/>
      <c r="F58" s="2"/>
      <c r="G58" s="2"/>
      <c r="H58" s="2"/>
      <c r="I58" s="2"/>
      <c r="J58" s="2"/>
      <c r="K58" s="2"/>
      <c r="L58" s="2"/>
      <c r="M58" s="2"/>
      <c r="N58" s="2"/>
      <c r="O58" s="2"/>
      <c r="P58" s="2"/>
      <c r="Q58" s="2"/>
      <c r="R58" s="2"/>
      <c r="S58" s="100"/>
    </row>
    <row r="59" spans="1:19" outlineLevel="4" x14ac:dyDescent="0.25">
      <c r="A59" s="1"/>
      <c r="B59" s="1"/>
      <c r="C59" s="1"/>
      <c r="D59" s="1"/>
      <c r="E59" s="1" t="s">
        <v>46</v>
      </c>
      <c r="F59" s="2">
        <f>(Salaries!I91+Salaries!I90)/12</f>
        <v>11939.845833333335</v>
      </c>
      <c r="G59" s="2">
        <f t="shared" ref="G59:Q59" si="49">+F59</f>
        <v>11939.845833333335</v>
      </c>
      <c r="H59" s="2">
        <f t="shared" si="49"/>
        <v>11939.845833333335</v>
      </c>
      <c r="I59" s="2">
        <f t="shared" si="49"/>
        <v>11939.845833333335</v>
      </c>
      <c r="J59" s="2">
        <f t="shared" si="49"/>
        <v>11939.845833333335</v>
      </c>
      <c r="K59" s="2">
        <f t="shared" si="49"/>
        <v>11939.845833333335</v>
      </c>
      <c r="L59" s="2">
        <f t="shared" si="49"/>
        <v>11939.845833333335</v>
      </c>
      <c r="M59" s="2">
        <f t="shared" si="49"/>
        <v>11939.845833333335</v>
      </c>
      <c r="N59" s="2">
        <f t="shared" si="49"/>
        <v>11939.845833333335</v>
      </c>
      <c r="O59" s="2">
        <f t="shared" si="49"/>
        <v>11939.845833333335</v>
      </c>
      <c r="P59" s="2">
        <f t="shared" si="49"/>
        <v>11939.845833333335</v>
      </c>
      <c r="Q59" s="2">
        <f t="shared" si="49"/>
        <v>11939.845833333335</v>
      </c>
      <c r="R59" s="2">
        <f t="shared" ref="R59:R66" si="50">ROUND(SUM(F59:Q59),5)</f>
        <v>143278.15</v>
      </c>
      <c r="S59" s="100">
        <f>R59/$R$67</f>
        <v>0.73289957501203407</v>
      </c>
    </row>
    <row r="60" spans="1:19" outlineLevel="4" x14ac:dyDescent="0.25">
      <c r="A60" s="1"/>
      <c r="B60" s="1"/>
      <c r="C60" s="1"/>
      <c r="D60" s="1"/>
      <c r="E60" s="1" t="s">
        <v>47</v>
      </c>
      <c r="F60" s="2">
        <v>0</v>
      </c>
      <c r="G60" s="2">
        <v>0</v>
      </c>
      <c r="H60" s="2">
        <v>0</v>
      </c>
      <c r="I60" s="2">
        <v>0</v>
      </c>
      <c r="J60" s="2">
        <v>0</v>
      </c>
      <c r="K60" s="2">
        <v>0</v>
      </c>
      <c r="L60" s="2">
        <v>0</v>
      </c>
      <c r="M60" s="2">
        <v>0</v>
      </c>
      <c r="N60" s="2">
        <v>0</v>
      </c>
      <c r="O60" s="2">
        <v>0</v>
      </c>
      <c r="P60" s="2">
        <v>0</v>
      </c>
      <c r="Q60" s="2">
        <v>0</v>
      </c>
      <c r="R60" s="2">
        <f t="shared" si="50"/>
        <v>0</v>
      </c>
      <c r="S60" s="100">
        <f t="shared" ref="S60:S66" si="51">R60/$R$67</f>
        <v>0</v>
      </c>
    </row>
    <row r="61" spans="1:19" outlineLevel="4" x14ac:dyDescent="0.25">
      <c r="A61" s="1"/>
      <c r="B61" s="1"/>
      <c r="C61" s="1"/>
      <c r="D61" s="1"/>
      <c r="E61" s="1" t="s">
        <v>48</v>
      </c>
      <c r="F61" s="2">
        <v>0</v>
      </c>
      <c r="G61" s="2">
        <f t="shared" ref="G61:Q61" si="52">+F61</f>
        <v>0</v>
      </c>
      <c r="H61" s="2">
        <f t="shared" si="52"/>
        <v>0</v>
      </c>
      <c r="I61" s="2">
        <f t="shared" si="52"/>
        <v>0</v>
      </c>
      <c r="J61" s="2">
        <f t="shared" si="52"/>
        <v>0</v>
      </c>
      <c r="K61" s="2">
        <f t="shared" si="52"/>
        <v>0</v>
      </c>
      <c r="L61" s="2">
        <f t="shared" si="52"/>
        <v>0</v>
      </c>
      <c r="M61" s="2">
        <f t="shared" si="52"/>
        <v>0</v>
      </c>
      <c r="N61" s="2">
        <f t="shared" si="52"/>
        <v>0</v>
      </c>
      <c r="O61" s="2">
        <f t="shared" si="52"/>
        <v>0</v>
      </c>
      <c r="P61" s="2">
        <f t="shared" si="52"/>
        <v>0</v>
      </c>
      <c r="Q61" s="2">
        <f t="shared" si="52"/>
        <v>0</v>
      </c>
      <c r="R61" s="2">
        <f t="shared" si="50"/>
        <v>0</v>
      </c>
      <c r="S61" s="100">
        <f t="shared" si="51"/>
        <v>0</v>
      </c>
    </row>
    <row r="62" spans="1:19" outlineLevel="4" x14ac:dyDescent="0.25">
      <c r="A62" s="1"/>
      <c r="B62" s="1"/>
      <c r="C62" s="1"/>
      <c r="D62" s="1"/>
      <c r="E62" s="1" t="s">
        <v>49</v>
      </c>
      <c r="F62" s="2">
        <f>(+F59+F60+F61)*0.062</f>
        <v>740.27044166666678</v>
      </c>
      <c r="G62" s="2">
        <f t="shared" ref="G62:Q62" si="53">(+G59+G60+G61)*0.062</f>
        <v>740.27044166666678</v>
      </c>
      <c r="H62" s="2">
        <f t="shared" si="53"/>
        <v>740.27044166666678</v>
      </c>
      <c r="I62" s="2">
        <f t="shared" si="53"/>
        <v>740.27044166666678</v>
      </c>
      <c r="J62" s="2">
        <f t="shared" si="53"/>
        <v>740.27044166666678</v>
      </c>
      <c r="K62" s="2">
        <f t="shared" si="53"/>
        <v>740.27044166666678</v>
      </c>
      <c r="L62" s="2">
        <f t="shared" si="53"/>
        <v>740.27044166666678</v>
      </c>
      <c r="M62" s="2">
        <f t="shared" si="53"/>
        <v>740.27044166666678</v>
      </c>
      <c r="N62" s="2">
        <f t="shared" si="53"/>
        <v>740.27044166666678</v>
      </c>
      <c r="O62" s="2">
        <f t="shared" si="53"/>
        <v>740.27044166666678</v>
      </c>
      <c r="P62" s="2">
        <f t="shared" si="53"/>
        <v>740.27044166666678</v>
      </c>
      <c r="Q62" s="2">
        <f t="shared" si="53"/>
        <v>740.27044166666678</v>
      </c>
      <c r="R62" s="2">
        <f t="shared" si="50"/>
        <v>8883.2453000000005</v>
      </c>
      <c r="S62" s="100">
        <f t="shared" si="51"/>
        <v>4.5439773650746113E-2</v>
      </c>
    </row>
    <row r="63" spans="1:19" outlineLevel="4" x14ac:dyDescent="0.25">
      <c r="A63" s="1"/>
      <c r="B63" s="1"/>
      <c r="C63" s="1"/>
      <c r="D63" s="1"/>
      <c r="E63" s="1" t="s">
        <v>301</v>
      </c>
      <c r="F63" s="2">
        <f>2*378/12</f>
        <v>63</v>
      </c>
      <c r="G63" s="2">
        <f t="shared" ref="G63:Q63" si="54">2*378/12</f>
        <v>63</v>
      </c>
      <c r="H63" s="2">
        <f t="shared" si="54"/>
        <v>63</v>
      </c>
      <c r="I63" s="2">
        <f t="shared" si="54"/>
        <v>63</v>
      </c>
      <c r="J63" s="2">
        <f t="shared" si="54"/>
        <v>63</v>
      </c>
      <c r="K63" s="2">
        <f t="shared" si="54"/>
        <v>63</v>
      </c>
      <c r="L63" s="2">
        <f t="shared" si="54"/>
        <v>63</v>
      </c>
      <c r="M63" s="2">
        <f t="shared" si="54"/>
        <v>63</v>
      </c>
      <c r="N63" s="2">
        <f t="shared" si="54"/>
        <v>63</v>
      </c>
      <c r="O63" s="2">
        <f t="shared" si="54"/>
        <v>63</v>
      </c>
      <c r="P63" s="2">
        <f t="shared" si="54"/>
        <v>63</v>
      </c>
      <c r="Q63" s="2">
        <f t="shared" si="54"/>
        <v>63</v>
      </c>
      <c r="R63" s="2">
        <f t="shared" si="50"/>
        <v>756</v>
      </c>
      <c r="S63" s="100">
        <f t="shared" si="51"/>
        <v>3.8671079903606917E-3</v>
      </c>
    </row>
    <row r="64" spans="1:19" outlineLevel="4" x14ac:dyDescent="0.25">
      <c r="A64" s="1"/>
      <c r="B64" s="1"/>
      <c r="C64" s="1"/>
      <c r="D64" s="1"/>
      <c r="E64" s="1" t="s">
        <v>50</v>
      </c>
      <c r="F64" s="2">
        <f>(+F60+F61+F59)*0.0145</f>
        <v>173.12776458333337</v>
      </c>
      <c r="G64" s="2">
        <f t="shared" ref="G64:Q64" si="55">(+G60+G61+G59)*0.0145</f>
        <v>173.12776458333337</v>
      </c>
      <c r="H64" s="2">
        <f t="shared" si="55"/>
        <v>173.12776458333337</v>
      </c>
      <c r="I64" s="2">
        <f t="shared" si="55"/>
        <v>173.12776458333337</v>
      </c>
      <c r="J64" s="2">
        <f t="shared" si="55"/>
        <v>173.12776458333337</v>
      </c>
      <c r="K64" s="2">
        <f t="shared" si="55"/>
        <v>173.12776458333337</v>
      </c>
      <c r="L64" s="2">
        <f t="shared" si="55"/>
        <v>173.12776458333337</v>
      </c>
      <c r="M64" s="2">
        <f t="shared" si="55"/>
        <v>173.12776458333337</v>
      </c>
      <c r="N64" s="2">
        <f t="shared" si="55"/>
        <v>173.12776458333337</v>
      </c>
      <c r="O64" s="2">
        <f t="shared" si="55"/>
        <v>173.12776458333337</v>
      </c>
      <c r="P64" s="2">
        <f t="shared" si="55"/>
        <v>173.12776458333337</v>
      </c>
      <c r="Q64" s="2">
        <f t="shared" si="55"/>
        <v>173.12776458333337</v>
      </c>
      <c r="R64" s="2">
        <f t="shared" si="50"/>
        <v>2077.5331799999999</v>
      </c>
      <c r="S64" s="100">
        <f t="shared" si="51"/>
        <v>1.0627043863250604E-2</v>
      </c>
    </row>
    <row r="65" spans="1:19" outlineLevel="4" x14ac:dyDescent="0.25">
      <c r="A65" s="1"/>
      <c r="B65" s="1"/>
      <c r="C65" s="1"/>
      <c r="D65" s="1"/>
      <c r="E65" s="1" t="s">
        <v>308</v>
      </c>
      <c r="F65" s="2">
        <v>0</v>
      </c>
      <c r="G65" s="2">
        <v>4000</v>
      </c>
      <c r="H65" s="2">
        <f t="shared" ref="H65:P65" si="56">+G65</f>
        <v>4000</v>
      </c>
      <c r="I65" s="2">
        <f t="shared" si="56"/>
        <v>4000</v>
      </c>
      <c r="J65" s="2">
        <f t="shared" si="56"/>
        <v>4000</v>
      </c>
      <c r="K65" s="2">
        <f t="shared" si="56"/>
        <v>4000</v>
      </c>
      <c r="L65" s="2">
        <f t="shared" si="56"/>
        <v>4000</v>
      </c>
      <c r="M65" s="2">
        <f t="shared" si="56"/>
        <v>4000</v>
      </c>
      <c r="N65" s="2">
        <f t="shared" si="56"/>
        <v>4000</v>
      </c>
      <c r="O65" s="2">
        <f t="shared" si="56"/>
        <v>4000</v>
      </c>
      <c r="P65" s="2">
        <f t="shared" si="56"/>
        <v>4000</v>
      </c>
      <c r="Q65" s="2">
        <v>0</v>
      </c>
      <c r="R65" s="2">
        <f>ROUND(SUM(F65:Q65),5)</f>
        <v>40000</v>
      </c>
      <c r="S65" s="100">
        <f t="shared" si="51"/>
        <v>0.20460888837887259</v>
      </c>
    </row>
    <row r="66" spans="1:19" ht="15.75" outlineLevel="4" thickBot="1" x14ac:dyDescent="0.3">
      <c r="A66" s="1"/>
      <c r="B66" s="1"/>
      <c r="C66" s="1"/>
      <c r="D66" s="1"/>
      <c r="E66" s="1" t="s">
        <v>51</v>
      </c>
      <c r="F66" s="3">
        <v>0</v>
      </c>
      <c r="G66" s="3">
        <v>250</v>
      </c>
      <c r="H66" s="3">
        <v>0</v>
      </c>
      <c r="I66" s="3">
        <v>0</v>
      </c>
      <c r="J66" s="3">
        <v>0</v>
      </c>
      <c r="K66" s="3">
        <v>0</v>
      </c>
      <c r="L66" s="3">
        <v>0</v>
      </c>
      <c r="M66" s="3">
        <v>250</v>
      </c>
      <c r="N66" s="3">
        <v>0</v>
      </c>
      <c r="O66" s="3">
        <v>0</v>
      </c>
      <c r="P66" s="3">
        <v>0</v>
      </c>
      <c r="Q66" s="3">
        <v>0</v>
      </c>
      <c r="R66" s="3">
        <f t="shared" si="50"/>
        <v>500</v>
      </c>
      <c r="S66" s="100">
        <f t="shared" si="51"/>
        <v>2.5576111047359074E-3</v>
      </c>
    </row>
    <row r="67" spans="1:19" outlineLevel="3" x14ac:dyDescent="0.25">
      <c r="A67" s="1"/>
      <c r="B67" s="1"/>
      <c r="C67" s="1"/>
      <c r="D67" s="1" t="s">
        <v>52</v>
      </c>
      <c r="E67" s="1"/>
      <c r="F67" s="2">
        <f t="shared" ref="F67:Q67" si="57">ROUND(SUM(F58:F66),5)</f>
        <v>12916.24404</v>
      </c>
      <c r="G67" s="2">
        <f t="shared" si="57"/>
        <v>17166.244040000001</v>
      </c>
      <c r="H67" s="2">
        <f t="shared" si="57"/>
        <v>16916.244040000001</v>
      </c>
      <c r="I67" s="2">
        <f t="shared" si="57"/>
        <v>16916.244040000001</v>
      </c>
      <c r="J67" s="2">
        <f t="shared" si="57"/>
        <v>16916.244040000001</v>
      </c>
      <c r="K67" s="2">
        <f t="shared" si="57"/>
        <v>16916.244040000001</v>
      </c>
      <c r="L67" s="2">
        <f t="shared" si="57"/>
        <v>16916.244040000001</v>
      </c>
      <c r="M67" s="2">
        <f t="shared" si="57"/>
        <v>17166.244040000001</v>
      </c>
      <c r="N67" s="2">
        <f t="shared" si="57"/>
        <v>16916.244040000001</v>
      </c>
      <c r="O67" s="2">
        <f t="shared" si="57"/>
        <v>16916.244040000001</v>
      </c>
      <c r="P67" s="2">
        <f t="shared" si="57"/>
        <v>16916.244040000001</v>
      </c>
      <c r="Q67" s="2">
        <f t="shared" si="57"/>
        <v>12916.24404</v>
      </c>
      <c r="R67" s="2">
        <f>ROUND(SUM(F67:Q67),5)</f>
        <v>195494.92848</v>
      </c>
      <c r="S67" s="102">
        <f>SUM(S59:S66)</f>
        <v>1</v>
      </c>
    </row>
    <row r="68" spans="1:19" outlineLevel="4" x14ac:dyDescent="0.25">
      <c r="A68" s="1"/>
      <c r="B68" s="1"/>
      <c r="C68" s="1"/>
      <c r="D68" s="1" t="s">
        <v>53</v>
      </c>
      <c r="E68" s="1"/>
      <c r="F68" s="2"/>
      <c r="G68" s="2"/>
      <c r="H68" s="2"/>
      <c r="I68" s="2"/>
      <c r="J68" s="2"/>
      <c r="K68" s="2"/>
      <c r="L68" s="2"/>
      <c r="M68" s="2"/>
      <c r="N68" s="2"/>
      <c r="O68" s="2"/>
      <c r="P68" s="2"/>
      <c r="Q68" s="2"/>
      <c r="R68" s="2"/>
      <c r="S68" s="100"/>
    </row>
    <row r="69" spans="1:19" outlineLevel="4" x14ac:dyDescent="0.25">
      <c r="A69" s="1"/>
      <c r="B69" s="1"/>
      <c r="C69" s="1"/>
      <c r="D69" s="1"/>
      <c r="E69" s="1" t="s">
        <v>454</v>
      </c>
      <c r="F69" s="2">
        <f>65000/12</f>
        <v>5416.666666666667</v>
      </c>
      <c r="G69" s="2">
        <f>F69</f>
        <v>5416.666666666667</v>
      </c>
      <c r="H69" s="2">
        <f t="shared" ref="H69:P69" si="58">+G69</f>
        <v>5416.666666666667</v>
      </c>
      <c r="I69" s="2">
        <f t="shared" si="58"/>
        <v>5416.666666666667</v>
      </c>
      <c r="J69" s="2">
        <f t="shared" si="58"/>
        <v>5416.666666666667</v>
      </c>
      <c r="K69" s="2">
        <f t="shared" si="58"/>
        <v>5416.666666666667</v>
      </c>
      <c r="L69" s="2">
        <f t="shared" si="58"/>
        <v>5416.666666666667</v>
      </c>
      <c r="M69" s="2">
        <f t="shared" si="58"/>
        <v>5416.666666666667</v>
      </c>
      <c r="N69" s="2">
        <f t="shared" si="58"/>
        <v>5416.666666666667</v>
      </c>
      <c r="O69" s="2">
        <f t="shared" si="58"/>
        <v>5416.666666666667</v>
      </c>
      <c r="P69" s="2">
        <f t="shared" si="58"/>
        <v>5416.666666666667</v>
      </c>
      <c r="Q69" s="2">
        <f>P69</f>
        <v>5416.666666666667</v>
      </c>
      <c r="R69" s="2">
        <f>ROUND(SUM(F69:Q69),5)</f>
        <v>65000</v>
      </c>
      <c r="S69" s="100">
        <f>R69/$R$74</f>
        <v>0.83180036748592157</v>
      </c>
    </row>
    <row r="70" spans="1:19" outlineLevel="4" x14ac:dyDescent="0.25">
      <c r="A70" s="1"/>
      <c r="B70" s="1"/>
      <c r="C70" s="1"/>
      <c r="D70" s="1"/>
      <c r="E70" s="1" t="s">
        <v>54</v>
      </c>
      <c r="F70" s="2">
        <v>0</v>
      </c>
      <c r="G70" s="2">
        <f>+G69*0.062</f>
        <v>335.83333333333337</v>
      </c>
      <c r="H70" s="2">
        <f t="shared" ref="H70:P70" si="59">+H69*0.062</f>
        <v>335.83333333333337</v>
      </c>
      <c r="I70" s="2">
        <f t="shared" si="59"/>
        <v>335.83333333333337</v>
      </c>
      <c r="J70" s="2">
        <f t="shared" si="59"/>
        <v>335.83333333333337</v>
      </c>
      <c r="K70" s="2">
        <f t="shared" si="59"/>
        <v>335.83333333333337</v>
      </c>
      <c r="L70" s="2">
        <f t="shared" si="59"/>
        <v>335.83333333333337</v>
      </c>
      <c r="M70" s="2">
        <f t="shared" si="59"/>
        <v>335.83333333333337</v>
      </c>
      <c r="N70" s="2">
        <f t="shared" si="59"/>
        <v>335.83333333333337</v>
      </c>
      <c r="O70" s="2">
        <f t="shared" si="59"/>
        <v>335.83333333333337</v>
      </c>
      <c r="P70" s="2">
        <f t="shared" si="59"/>
        <v>335.83333333333337</v>
      </c>
      <c r="Q70" s="2">
        <v>0</v>
      </c>
      <c r="R70" s="2">
        <f>ROUND(SUM(F70:Q70),5)</f>
        <v>3358.3333299999999</v>
      </c>
      <c r="S70" s="100">
        <f t="shared" ref="S70:S72" si="60">R70/$R$74</f>
        <v>4.2976352277449517E-2</v>
      </c>
    </row>
    <row r="71" spans="1:19" outlineLevel="4" x14ac:dyDescent="0.25">
      <c r="A71" s="1"/>
      <c r="B71" s="1"/>
      <c r="C71" s="1"/>
      <c r="D71" s="1"/>
      <c r="E71" s="1" t="s">
        <v>302</v>
      </c>
      <c r="F71" s="2">
        <v>0</v>
      </c>
      <c r="G71" s="2">
        <v>0</v>
      </c>
      <c r="H71" s="2">
        <v>0</v>
      </c>
      <c r="I71" s="2">
        <v>0</v>
      </c>
      <c r="J71" s="2">
        <v>0</v>
      </c>
      <c r="K71" s="2">
        <v>0</v>
      </c>
      <c r="L71" s="2">
        <v>0</v>
      </c>
      <c r="M71" s="2">
        <v>0</v>
      </c>
      <c r="N71" s="2">
        <v>0</v>
      </c>
      <c r="O71" s="2">
        <v>0</v>
      </c>
      <c r="P71" s="2">
        <v>0</v>
      </c>
      <c r="Q71" s="2">
        <v>0</v>
      </c>
      <c r="R71" s="2">
        <f>ROUND(SUM(F71:Q71),5)</f>
        <v>0</v>
      </c>
      <c r="S71" s="100">
        <f t="shared" si="60"/>
        <v>0</v>
      </c>
    </row>
    <row r="72" spans="1:19" outlineLevel="4" x14ac:dyDescent="0.25">
      <c r="A72" s="1"/>
      <c r="B72" s="1"/>
      <c r="C72" s="1"/>
      <c r="D72" s="1"/>
      <c r="E72" s="1" t="s">
        <v>55</v>
      </c>
      <c r="F72" s="2">
        <v>0</v>
      </c>
      <c r="G72" s="2">
        <f>+G69*0.0145</f>
        <v>78.541666666666671</v>
      </c>
      <c r="H72" s="2">
        <f t="shared" ref="H72:P72" si="61">+H69*0.0145</f>
        <v>78.541666666666671</v>
      </c>
      <c r="I72" s="2">
        <f t="shared" si="61"/>
        <v>78.541666666666671</v>
      </c>
      <c r="J72" s="2">
        <f t="shared" si="61"/>
        <v>78.541666666666671</v>
      </c>
      <c r="K72" s="2">
        <f t="shared" si="61"/>
        <v>78.541666666666671</v>
      </c>
      <c r="L72" s="2">
        <f t="shared" si="61"/>
        <v>78.541666666666671</v>
      </c>
      <c r="M72" s="2">
        <f t="shared" si="61"/>
        <v>78.541666666666671</v>
      </c>
      <c r="N72" s="2">
        <f t="shared" si="61"/>
        <v>78.541666666666671</v>
      </c>
      <c r="O72" s="2">
        <f t="shared" si="61"/>
        <v>78.541666666666671</v>
      </c>
      <c r="P72" s="2">
        <f t="shared" si="61"/>
        <v>78.541666666666671</v>
      </c>
      <c r="Q72" s="2">
        <v>0</v>
      </c>
      <c r="R72" s="2">
        <f>ROUND(SUM(F72:Q72),5)</f>
        <v>785.41666999999995</v>
      </c>
      <c r="S72" s="100">
        <f t="shared" si="60"/>
        <v>1.0050921149777981E-2</v>
      </c>
    </row>
    <row r="73" spans="1:19" ht="15.75" outlineLevel="4" thickBot="1" x14ac:dyDescent="0.3">
      <c r="A73" s="1"/>
      <c r="B73" s="1"/>
      <c r="C73" s="1"/>
      <c r="D73" s="1"/>
      <c r="E73" s="1" t="s">
        <v>349</v>
      </c>
      <c r="F73" s="3">
        <v>0</v>
      </c>
      <c r="G73" s="3">
        <v>900</v>
      </c>
      <c r="H73" s="3">
        <f t="shared" ref="H73:P73" si="62">G73</f>
        <v>900</v>
      </c>
      <c r="I73" s="3">
        <f t="shared" si="62"/>
        <v>900</v>
      </c>
      <c r="J73" s="3">
        <f t="shared" si="62"/>
        <v>900</v>
      </c>
      <c r="K73" s="3">
        <f t="shared" si="62"/>
        <v>900</v>
      </c>
      <c r="L73" s="3">
        <f t="shared" si="62"/>
        <v>900</v>
      </c>
      <c r="M73" s="3">
        <f t="shared" si="62"/>
        <v>900</v>
      </c>
      <c r="N73" s="3">
        <f t="shared" si="62"/>
        <v>900</v>
      </c>
      <c r="O73" s="3">
        <f t="shared" si="62"/>
        <v>900</v>
      </c>
      <c r="P73" s="3">
        <f t="shared" si="62"/>
        <v>900</v>
      </c>
      <c r="Q73" s="3">
        <v>0</v>
      </c>
      <c r="R73" s="3">
        <f t="shared" ref="R73" si="63">ROUND(SUM(F73:Q73),5)</f>
        <v>9000</v>
      </c>
      <c r="S73" s="100">
        <f>R73/$R$74</f>
        <v>0.11517235857497377</v>
      </c>
    </row>
    <row r="74" spans="1:19" ht="15.75" outlineLevel="3" thickBot="1" x14ac:dyDescent="0.3">
      <c r="A74" s="1"/>
      <c r="B74" s="1"/>
      <c r="C74" s="1"/>
      <c r="D74" s="1" t="s">
        <v>56</v>
      </c>
      <c r="E74" s="1"/>
      <c r="F74" s="2">
        <f>ROUND(SUM(F68:F73),5)</f>
        <v>5416.6666699999996</v>
      </c>
      <c r="G74" s="2">
        <f t="shared" ref="G74:Q74" si="64">ROUND(SUM(G68:G73),5)</f>
        <v>6731.0416699999996</v>
      </c>
      <c r="H74" s="2">
        <f t="shared" si="64"/>
        <v>6731.0416699999996</v>
      </c>
      <c r="I74" s="2">
        <f t="shared" si="64"/>
        <v>6731.0416699999996</v>
      </c>
      <c r="J74" s="2">
        <f t="shared" si="64"/>
        <v>6731.0416699999996</v>
      </c>
      <c r="K74" s="2">
        <f t="shared" si="64"/>
        <v>6731.0416699999996</v>
      </c>
      <c r="L74" s="2">
        <f t="shared" si="64"/>
        <v>6731.0416699999996</v>
      </c>
      <c r="M74" s="2">
        <f t="shared" si="64"/>
        <v>6731.0416699999996</v>
      </c>
      <c r="N74" s="2">
        <f t="shared" si="64"/>
        <v>6731.0416699999996</v>
      </c>
      <c r="O74" s="2">
        <f t="shared" si="64"/>
        <v>6731.0416699999996</v>
      </c>
      <c r="P74" s="2">
        <f t="shared" si="64"/>
        <v>6731.0416699999996</v>
      </c>
      <c r="Q74" s="2">
        <f t="shared" si="64"/>
        <v>5416.6666699999996</v>
      </c>
      <c r="R74" s="2">
        <f>ROUND(SUM(F74:Q74),5)</f>
        <v>78143.750039999999</v>
      </c>
      <c r="S74" s="102">
        <f>SUM(S69:S73)</f>
        <v>0.9999999994881229</v>
      </c>
    </row>
    <row r="75" spans="1:19" hidden="1" outlineLevel="4" x14ac:dyDescent="0.25">
      <c r="A75" s="1"/>
      <c r="B75" s="1"/>
      <c r="C75" s="1"/>
      <c r="D75" s="1" t="s">
        <v>350</v>
      </c>
      <c r="E75" s="1"/>
      <c r="F75" s="2"/>
      <c r="G75" s="2"/>
      <c r="H75" s="2"/>
      <c r="I75" s="2"/>
      <c r="J75" s="2"/>
      <c r="K75" s="2"/>
      <c r="L75" s="2"/>
      <c r="M75" s="2"/>
      <c r="N75" s="2"/>
      <c r="O75" s="2"/>
      <c r="P75" s="2"/>
      <c r="Q75" s="2"/>
      <c r="R75" s="2"/>
      <c r="S75" s="100"/>
    </row>
    <row r="76" spans="1:19" ht="15.75" hidden="1" outlineLevel="4" thickBot="1" x14ac:dyDescent="0.3">
      <c r="A76" s="1"/>
      <c r="B76" s="1"/>
      <c r="C76" s="1"/>
      <c r="D76" s="1"/>
      <c r="E76" s="1" t="s">
        <v>351</v>
      </c>
      <c r="F76" s="3">
        <v>0</v>
      </c>
      <c r="G76" s="3">
        <v>0</v>
      </c>
      <c r="H76" s="3">
        <v>500</v>
      </c>
      <c r="I76" s="3">
        <v>0</v>
      </c>
      <c r="J76" s="3">
        <v>0</v>
      </c>
      <c r="K76" s="3">
        <v>0</v>
      </c>
      <c r="L76" s="3">
        <v>500</v>
      </c>
      <c r="M76" s="3">
        <v>0</v>
      </c>
      <c r="N76" s="3">
        <v>0</v>
      </c>
      <c r="O76" s="3">
        <v>0</v>
      </c>
      <c r="P76" s="3">
        <v>0</v>
      </c>
      <c r="Q76" s="3">
        <v>0</v>
      </c>
      <c r="R76" s="3">
        <f>ROUND(SUM(F76:Q76),5)</f>
        <v>1000</v>
      </c>
      <c r="S76" s="100">
        <f>R76/$R$77</f>
        <v>1</v>
      </c>
    </row>
    <row r="77" spans="1:19" outlineLevel="3" collapsed="1" x14ac:dyDescent="0.25">
      <c r="A77" s="1"/>
      <c r="B77" s="1"/>
      <c r="C77" s="1"/>
      <c r="D77" s="1" t="s">
        <v>57</v>
      </c>
      <c r="E77" s="1"/>
      <c r="F77" s="2">
        <f t="shared" ref="F77:Q77" si="65">ROUND(SUM(F75:F76),5)</f>
        <v>0</v>
      </c>
      <c r="G77" s="2">
        <f t="shared" si="65"/>
        <v>0</v>
      </c>
      <c r="H77" s="2">
        <f t="shared" si="65"/>
        <v>500</v>
      </c>
      <c r="I77" s="2">
        <f t="shared" si="65"/>
        <v>0</v>
      </c>
      <c r="J77" s="2">
        <f t="shared" si="65"/>
        <v>0</v>
      </c>
      <c r="K77" s="2">
        <f t="shared" si="65"/>
        <v>0</v>
      </c>
      <c r="L77" s="2">
        <f t="shared" si="65"/>
        <v>500</v>
      </c>
      <c r="M77" s="2">
        <f t="shared" si="65"/>
        <v>0</v>
      </c>
      <c r="N77" s="2">
        <f t="shared" si="65"/>
        <v>0</v>
      </c>
      <c r="O77" s="2">
        <f t="shared" si="65"/>
        <v>0</v>
      </c>
      <c r="P77" s="2">
        <f t="shared" si="65"/>
        <v>0</v>
      </c>
      <c r="Q77" s="2">
        <f t="shared" si="65"/>
        <v>0</v>
      </c>
      <c r="R77" s="2">
        <f>ROUND(SUM(F77:Q77),5)</f>
        <v>1000</v>
      </c>
      <c r="S77" s="102">
        <f>SUM(S76:S76)</f>
        <v>1</v>
      </c>
    </row>
    <row r="78" spans="1:19" outlineLevel="4" x14ac:dyDescent="0.25">
      <c r="A78" s="1"/>
      <c r="B78" s="1"/>
      <c r="C78" s="1"/>
      <c r="D78" s="1" t="s">
        <v>58</v>
      </c>
      <c r="E78" s="1"/>
      <c r="F78" s="2"/>
      <c r="G78" s="2"/>
      <c r="H78" s="2"/>
      <c r="I78" s="2"/>
      <c r="J78" s="2"/>
      <c r="K78" s="2"/>
      <c r="L78" s="2"/>
      <c r="M78" s="2"/>
      <c r="N78" s="2"/>
      <c r="O78" s="2"/>
      <c r="P78" s="2"/>
      <c r="Q78" s="2"/>
      <c r="R78" s="2"/>
      <c r="S78" s="100"/>
    </row>
    <row r="79" spans="1:19" outlineLevel="4" x14ac:dyDescent="0.25">
      <c r="A79" s="1"/>
      <c r="B79" s="1"/>
      <c r="C79" s="1"/>
      <c r="D79" s="1"/>
      <c r="E79" s="1" t="s">
        <v>59</v>
      </c>
      <c r="F79" s="2">
        <f>80000/12</f>
        <v>6666.666666666667</v>
      </c>
      <c r="G79" s="2">
        <f>+F79</f>
        <v>6666.666666666667</v>
      </c>
      <c r="H79" s="2">
        <f>G79</f>
        <v>6666.666666666667</v>
      </c>
      <c r="I79" s="2">
        <f>++H79</f>
        <v>6666.666666666667</v>
      </c>
      <c r="J79" s="2">
        <f>H79</f>
        <v>6666.666666666667</v>
      </c>
      <c r="K79" s="2">
        <f>J79</f>
        <v>6666.666666666667</v>
      </c>
      <c r="L79" s="2">
        <f t="shared" ref="L79:Q79" si="66">K79</f>
        <v>6666.666666666667</v>
      </c>
      <c r="M79" s="2">
        <f t="shared" si="66"/>
        <v>6666.666666666667</v>
      </c>
      <c r="N79" s="2">
        <f t="shared" si="66"/>
        <v>6666.666666666667</v>
      </c>
      <c r="O79" s="2">
        <f t="shared" si="66"/>
        <v>6666.666666666667</v>
      </c>
      <c r="P79" s="2">
        <f t="shared" si="66"/>
        <v>6666.666666666667</v>
      </c>
      <c r="Q79" s="2">
        <f t="shared" si="66"/>
        <v>6666.666666666667</v>
      </c>
      <c r="R79" s="2">
        <f>ROUND(SUM(F79:Q79),5)</f>
        <v>80000</v>
      </c>
      <c r="S79" s="100">
        <f>R79/$R$81</f>
        <v>0.99999999949999996</v>
      </c>
    </row>
    <row r="80" spans="1:19" ht="15.75" outlineLevel="4" thickBot="1" x14ac:dyDescent="0.3">
      <c r="A80" s="1"/>
      <c r="B80" s="1"/>
      <c r="C80" s="1"/>
      <c r="D80" s="1"/>
      <c r="E80" s="1" t="s">
        <v>303</v>
      </c>
      <c r="F80" s="3">
        <v>0</v>
      </c>
      <c r="G80" s="3">
        <v>0</v>
      </c>
      <c r="H80" s="3">
        <v>0</v>
      </c>
      <c r="I80" s="3">
        <v>0</v>
      </c>
      <c r="J80" s="3">
        <v>0</v>
      </c>
      <c r="K80" s="3">
        <v>0</v>
      </c>
      <c r="L80" s="3">
        <v>0</v>
      </c>
      <c r="M80" s="3">
        <v>0</v>
      </c>
      <c r="N80" s="3">
        <v>0</v>
      </c>
      <c r="O80" s="3">
        <v>0</v>
      </c>
      <c r="P80" s="3">
        <v>0</v>
      </c>
      <c r="Q80" s="3">
        <v>0</v>
      </c>
      <c r="R80" s="3">
        <f>ROUND(SUM(F80:Q80),5)</f>
        <v>0</v>
      </c>
      <c r="S80" s="100">
        <f>R80/R81</f>
        <v>0</v>
      </c>
    </row>
    <row r="81" spans="1:19" outlineLevel="3" x14ac:dyDescent="0.25">
      <c r="A81" s="1"/>
      <c r="B81" s="1"/>
      <c r="C81" s="1"/>
      <c r="D81" s="1" t="s">
        <v>60</v>
      </c>
      <c r="E81" s="1"/>
      <c r="F81" s="2">
        <f>ROUND(SUM(F78:F80),5)</f>
        <v>6666.6666699999996</v>
      </c>
      <c r="G81" s="2">
        <f t="shared" ref="G81:Q81" si="67">ROUND(SUM(G78:G80),5)</f>
        <v>6666.6666699999996</v>
      </c>
      <c r="H81" s="2">
        <f t="shared" si="67"/>
        <v>6666.6666699999996</v>
      </c>
      <c r="I81" s="2">
        <f t="shared" si="67"/>
        <v>6666.6666699999996</v>
      </c>
      <c r="J81" s="2">
        <f t="shared" si="67"/>
        <v>6666.6666699999996</v>
      </c>
      <c r="K81" s="2">
        <f t="shared" si="67"/>
        <v>6666.6666699999996</v>
      </c>
      <c r="L81" s="2">
        <f t="shared" si="67"/>
        <v>6666.6666699999996</v>
      </c>
      <c r="M81" s="2">
        <f t="shared" si="67"/>
        <v>6666.6666699999996</v>
      </c>
      <c r="N81" s="2">
        <f t="shared" si="67"/>
        <v>6666.6666699999996</v>
      </c>
      <c r="O81" s="2">
        <f t="shared" si="67"/>
        <v>6666.6666699999996</v>
      </c>
      <c r="P81" s="2">
        <f t="shared" si="67"/>
        <v>6666.6666699999996</v>
      </c>
      <c r="Q81" s="2">
        <f t="shared" si="67"/>
        <v>6666.6666699999996</v>
      </c>
      <c r="R81" s="2">
        <f>ROUND(SUM(F81:Q81),5)</f>
        <v>80000.000039999999</v>
      </c>
      <c r="S81" s="102">
        <f>+S79+S80</f>
        <v>0.99999999949999996</v>
      </c>
    </row>
    <row r="82" spans="1:19" outlineLevel="4" x14ac:dyDescent="0.25">
      <c r="A82" s="1"/>
      <c r="B82" s="1"/>
      <c r="C82" s="1"/>
      <c r="D82" s="1" t="s">
        <v>61</v>
      </c>
      <c r="E82" s="1"/>
      <c r="F82" s="2"/>
      <c r="G82" s="2"/>
      <c r="H82" s="2"/>
      <c r="I82" s="2"/>
      <c r="J82" s="2"/>
      <c r="K82" s="2"/>
      <c r="L82" s="2"/>
      <c r="M82" s="2"/>
      <c r="N82" s="2"/>
      <c r="O82" s="2"/>
      <c r="P82" s="2"/>
      <c r="Q82" s="2"/>
      <c r="R82" s="2"/>
      <c r="S82" s="100"/>
    </row>
    <row r="83" spans="1:19" ht="15.75" outlineLevel="4" thickBot="1" x14ac:dyDescent="0.3">
      <c r="A83" s="1"/>
      <c r="B83" s="1"/>
      <c r="C83" s="1"/>
      <c r="D83" s="1"/>
      <c r="E83" s="1" t="s">
        <v>62</v>
      </c>
      <c r="F83" s="3">
        <f>F18*0.05*250/FEFP!$C$28</f>
        <v>11584.943762781186</v>
      </c>
      <c r="G83" s="3">
        <f>G18*0.05*250/FEFP!$C$28</f>
        <v>11584.943762781186</v>
      </c>
      <c r="H83" s="3">
        <f>H18*0.05*250/FEFP!$C$28</f>
        <v>11584.943762781186</v>
      </c>
      <c r="I83" s="3">
        <f>I18*0.05*250/FEFP!$C$28</f>
        <v>11584.943762781186</v>
      </c>
      <c r="J83" s="3">
        <f>J18*0.05*250/FEFP!$C$28</f>
        <v>11584.943762781186</v>
      </c>
      <c r="K83" s="3">
        <f>K18*0.05*250/FEFP!$C$28</f>
        <v>11584.943762781186</v>
      </c>
      <c r="L83" s="3">
        <f>L18*0.05*250/FEFP!$C$28</f>
        <v>11584.943762781186</v>
      </c>
      <c r="M83" s="3">
        <f>M18*0.05*250/FEFP!$C$28</f>
        <v>11584.943762781186</v>
      </c>
      <c r="N83" s="3">
        <f>N18*0.05*250/FEFP!$C$28</f>
        <v>11584.943762781186</v>
      </c>
      <c r="O83" s="3">
        <f>O18*0.05*250/FEFP!$C$28</f>
        <v>11584.943762781186</v>
      </c>
      <c r="P83" s="3">
        <f>P18*0.05*250/FEFP!$C$28</f>
        <v>11584.943762781186</v>
      </c>
      <c r="Q83" s="3">
        <f>Q18*0.05*250/FEFP!$C$28</f>
        <v>11584.943762781186</v>
      </c>
      <c r="R83" s="3">
        <f>ROUND(SUM(F83:Q83),5)</f>
        <v>139019.32514999999</v>
      </c>
      <c r="S83" s="100">
        <f>R83/R84</f>
        <v>1.0000000002157974</v>
      </c>
    </row>
    <row r="84" spans="1:19" outlineLevel="3" x14ac:dyDescent="0.25">
      <c r="A84" s="1"/>
      <c r="B84" s="1"/>
      <c r="C84" s="1"/>
      <c r="D84" s="1" t="s">
        <v>63</v>
      </c>
      <c r="E84" s="1"/>
      <c r="F84" s="2">
        <f t="shared" ref="F84:Q84" si="68">ROUND(SUM(F82:F83),5)</f>
        <v>11584.94376</v>
      </c>
      <c r="G84" s="2">
        <f t="shared" si="68"/>
        <v>11584.94376</v>
      </c>
      <c r="H84" s="2">
        <f t="shared" si="68"/>
        <v>11584.94376</v>
      </c>
      <c r="I84" s="2">
        <f t="shared" si="68"/>
        <v>11584.94376</v>
      </c>
      <c r="J84" s="2">
        <f t="shared" si="68"/>
        <v>11584.94376</v>
      </c>
      <c r="K84" s="2">
        <f t="shared" si="68"/>
        <v>11584.94376</v>
      </c>
      <c r="L84" s="2">
        <f t="shared" si="68"/>
        <v>11584.94376</v>
      </c>
      <c r="M84" s="2">
        <f t="shared" si="68"/>
        <v>11584.94376</v>
      </c>
      <c r="N84" s="2">
        <f t="shared" si="68"/>
        <v>11584.94376</v>
      </c>
      <c r="O84" s="2">
        <f t="shared" si="68"/>
        <v>11584.94376</v>
      </c>
      <c r="P84" s="2">
        <f t="shared" si="68"/>
        <v>11584.94376</v>
      </c>
      <c r="Q84" s="2">
        <f t="shared" si="68"/>
        <v>11584.94376</v>
      </c>
      <c r="R84" s="2">
        <f>ROUND(SUM(F84:Q84),5)</f>
        <v>139019.32511999999</v>
      </c>
      <c r="S84" s="102">
        <f>+S83</f>
        <v>1.0000000002157974</v>
      </c>
    </row>
    <row r="85" spans="1:19" outlineLevel="4" x14ac:dyDescent="0.25">
      <c r="A85" s="1"/>
      <c r="B85" s="1"/>
      <c r="C85" s="1"/>
      <c r="D85" s="1" t="s">
        <v>64</v>
      </c>
      <c r="E85" s="1"/>
      <c r="F85" s="2"/>
      <c r="G85" s="2"/>
      <c r="H85" s="2"/>
      <c r="I85" s="2"/>
      <c r="J85" s="2"/>
      <c r="K85" s="2"/>
      <c r="L85" s="2"/>
      <c r="M85" s="2"/>
      <c r="N85" s="2"/>
      <c r="O85" s="2"/>
      <c r="P85" s="2"/>
      <c r="Q85" s="2"/>
      <c r="R85" s="2"/>
      <c r="S85" s="100"/>
    </row>
    <row r="86" spans="1:19" outlineLevel="4" x14ac:dyDescent="0.25">
      <c r="A86" s="1"/>
      <c r="B86" s="1"/>
      <c r="C86" s="1"/>
      <c r="D86" s="1"/>
      <c r="E86" s="1" t="s">
        <v>65</v>
      </c>
      <c r="F86" s="2">
        <f>(Salaries!I61+Salaries!I69)/12</f>
        <v>19372.583333333332</v>
      </c>
      <c r="G86" s="2">
        <f t="shared" ref="G86:Q86" si="69">+F86</f>
        <v>19372.583333333332</v>
      </c>
      <c r="H86" s="2">
        <f t="shared" si="69"/>
        <v>19372.583333333332</v>
      </c>
      <c r="I86" s="2">
        <f t="shared" si="69"/>
        <v>19372.583333333332</v>
      </c>
      <c r="J86" s="2">
        <f t="shared" si="69"/>
        <v>19372.583333333332</v>
      </c>
      <c r="K86" s="2">
        <f t="shared" si="69"/>
        <v>19372.583333333332</v>
      </c>
      <c r="L86" s="2">
        <f t="shared" si="69"/>
        <v>19372.583333333332</v>
      </c>
      <c r="M86" s="2">
        <f t="shared" si="69"/>
        <v>19372.583333333332</v>
      </c>
      <c r="N86" s="2">
        <f t="shared" si="69"/>
        <v>19372.583333333332</v>
      </c>
      <c r="O86" s="2">
        <f t="shared" si="69"/>
        <v>19372.583333333332</v>
      </c>
      <c r="P86" s="2">
        <f t="shared" si="69"/>
        <v>19372.583333333332</v>
      </c>
      <c r="Q86" s="2">
        <f t="shared" si="69"/>
        <v>19372.583333333332</v>
      </c>
      <c r="R86" s="2">
        <f t="shared" ref="R86:R103" si="70">ROUND(SUM(F86:Q86),5)</f>
        <v>232471</v>
      </c>
      <c r="S86" s="100">
        <f t="shared" ref="S86:S94" si="71">R86/$R$103</f>
        <v>0.29391455638687924</v>
      </c>
    </row>
    <row r="87" spans="1:19" outlineLevel="4" x14ac:dyDescent="0.25">
      <c r="A87" s="1"/>
      <c r="B87" s="1"/>
      <c r="C87" s="1"/>
      <c r="D87" s="1"/>
      <c r="E87" s="1" t="s">
        <v>66</v>
      </c>
      <c r="F87" s="2">
        <f>(Salaries!I62+Salaries!I68+Salaries!I66+Salaries!I67+Salaries!H65+Salaries!H64+Salaries!H63)/12</f>
        <v>30568.240000000002</v>
      </c>
      <c r="G87" s="2">
        <f t="shared" ref="G87:Q87" si="72">+F87</f>
        <v>30568.240000000002</v>
      </c>
      <c r="H87" s="2">
        <f t="shared" si="72"/>
        <v>30568.240000000002</v>
      </c>
      <c r="I87" s="2">
        <f t="shared" si="72"/>
        <v>30568.240000000002</v>
      </c>
      <c r="J87" s="2">
        <f t="shared" si="72"/>
        <v>30568.240000000002</v>
      </c>
      <c r="K87" s="2">
        <f t="shared" si="72"/>
        <v>30568.240000000002</v>
      </c>
      <c r="L87" s="2">
        <f t="shared" si="72"/>
        <v>30568.240000000002</v>
      </c>
      <c r="M87" s="2">
        <f t="shared" si="72"/>
        <v>30568.240000000002</v>
      </c>
      <c r="N87" s="2">
        <f t="shared" si="72"/>
        <v>30568.240000000002</v>
      </c>
      <c r="O87" s="2">
        <f t="shared" si="72"/>
        <v>30568.240000000002</v>
      </c>
      <c r="P87" s="2">
        <f t="shared" si="72"/>
        <v>30568.240000000002</v>
      </c>
      <c r="Q87" s="2">
        <f t="shared" si="72"/>
        <v>30568.240000000002</v>
      </c>
      <c r="R87" s="2">
        <f t="shared" si="70"/>
        <v>366818.88</v>
      </c>
      <c r="S87" s="100">
        <f t="shared" si="71"/>
        <v>0.46377143123026909</v>
      </c>
    </row>
    <row r="88" spans="1:19" outlineLevel="4" x14ac:dyDescent="0.25">
      <c r="A88" s="1"/>
      <c r="B88" s="1"/>
      <c r="C88" s="1"/>
      <c r="D88" s="1"/>
      <c r="E88" s="1" t="s">
        <v>67</v>
      </c>
      <c r="F88" s="2">
        <f>(+F86+F87)*0.062</f>
        <v>3096.3310466666667</v>
      </c>
      <c r="G88" s="2">
        <f t="shared" ref="G88:Q88" si="73">(+G86+G87)*0.062</f>
        <v>3096.3310466666667</v>
      </c>
      <c r="H88" s="2">
        <f t="shared" si="73"/>
        <v>3096.3310466666667</v>
      </c>
      <c r="I88" s="2">
        <f t="shared" si="73"/>
        <v>3096.3310466666667</v>
      </c>
      <c r="J88" s="2">
        <f t="shared" si="73"/>
        <v>3096.3310466666667</v>
      </c>
      <c r="K88" s="2">
        <f t="shared" si="73"/>
        <v>3096.3310466666667</v>
      </c>
      <c r="L88" s="2">
        <f t="shared" si="73"/>
        <v>3096.3310466666667</v>
      </c>
      <c r="M88" s="2">
        <f t="shared" si="73"/>
        <v>3096.3310466666667</v>
      </c>
      <c r="N88" s="2">
        <f t="shared" si="73"/>
        <v>3096.3310466666667</v>
      </c>
      <c r="O88" s="2">
        <f t="shared" si="73"/>
        <v>3096.3310466666667</v>
      </c>
      <c r="P88" s="2">
        <f t="shared" si="73"/>
        <v>3096.3310466666667</v>
      </c>
      <c r="Q88" s="2">
        <f t="shared" si="73"/>
        <v>3096.3310466666667</v>
      </c>
      <c r="R88" s="2">
        <f t="shared" si="70"/>
        <v>37155.972560000002</v>
      </c>
      <c r="S88" s="100">
        <f t="shared" si="71"/>
        <v>4.6976531232263197E-2</v>
      </c>
    </row>
    <row r="89" spans="1:19" outlineLevel="4" x14ac:dyDescent="0.25">
      <c r="A89" s="1"/>
      <c r="B89" s="1"/>
      <c r="C89" s="1"/>
      <c r="D89" s="1"/>
      <c r="E89" s="1" t="s">
        <v>68</v>
      </c>
      <c r="F89" s="2">
        <v>0</v>
      </c>
      <c r="G89" s="2">
        <v>0</v>
      </c>
      <c r="H89" s="2">
        <v>0</v>
      </c>
      <c r="I89" s="2">
        <v>0</v>
      </c>
      <c r="J89" s="2">
        <v>0</v>
      </c>
      <c r="K89" s="2">
        <v>0</v>
      </c>
      <c r="L89" s="2">
        <v>0</v>
      </c>
      <c r="M89" s="2">
        <v>0</v>
      </c>
      <c r="N89" s="2">
        <v>0</v>
      </c>
      <c r="O89" s="2">
        <v>0</v>
      </c>
      <c r="P89" s="2">
        <v>0</v>
      </c>
      <c r="Q89" s="2">
        <v>0</v>
      </c>
      <c r="R89" s="2">
        <f t="shared" si="70"/>
        <v>0</v>
      </c>
      <c r="S89" s="100">
        <f t="shared" si="71"/>
        <v>0</v>
      </c>
    </row>
    <row r="90" spans="1:19" outlineLevel="4" x14ac:dyDescent="0.25">
      <c r="A90" s="1"/>
      <c r="B90" s="1"/>
      <c r="C90" s="1"/>
      <c r="D90" s="1"/>
      <c r="E90" s="1" t="s">
        <v>69</v>
      </c>
      <c r="F90" s="2">
        <f>378*4/12</f>
        <v>126</v>
      </c>
      <c r="G90" s="2">
        <f t="shared" ref="G90:Q90" si="74">378*4/12</f>
        <v>126</v>
      </c>
      <c r="H90" s="2">
        <f t="shared" si="74"/>
        <v>126</v>
      </c>
      <c r="I90" s="2">
        <f t="shared" si="74"/>
        <v>126</v>
      </c>
      <c r="J90" s="2">
        <f t="shared" si="74"/>
        <v>126</v>
      </c>
      <c r="K90" s="2">
        <f t="shared" si="74"/>
        <v>126</v>
      </c>
      <c r="L90" s="2">
        <f t="shared" si="74"/>
        <v>126</v>
      </c>
      <c r="M90" s="2">
        <f t="shared" si="74"/>
        <v>126</v>
      </c>
      <c r="N90" s="2">
        <f t="shared" si="74"/>
        <v>126</v>
      </c>
      <c r="O90" s="2">
        <f t="shared" si="74"/>
        <v>126</v>
      </c>
      <c r="P90" s="2">
        <f t="shared" si="74"/>
        <v>126</v>
      </c>
      <c r="Q90" s="2">
        <f t="shared" si="74"/>
        <v>126</v>
      </c>
      <c r="R90" s="2">
        <f t="shared" si="70"/>
        <v>1512</v>
      </c>
      <c r="S90" s="100">
        <f t="shared" si="71"/>
        <v>1.911631168003585E-3</v>
      </c>
    </row>
    <row r="91" spans="1:19" outlineLevel="4" x14ac:dyDescent="0.25">
      <c r="A91" s="1"/>
      <c r="B91" s="1"/>
      <c r="C91" s="1"/>
      <c r="D91" s="1"/>
      <c r="E91" s="1" t="s">
        <v>70</v>
      </c>
      <c r="F91" s="2">
        <f t="shared" ref="F91:Q91" si="75">(+F86+F87)*0.0145</f>
        <v>724.14193833333343</v>
      </c>
      <c r="G91" s="2">
        <f t="shared" si="75"/>
        <v>724.14193833333343</v>
      </c>
      <c r="H91" s="2">
        <f t="shared" si="75"/>
        <v>724.14193833333343</v>
      </c>
      <c r="I91" s="2">
        <f t="shared" si="75"/>
        <v>724.14193833333343</v>
      </c>
      <c r="J91" s="2">
        <f t="shared" si="75"/>
        <v>724.14193833333343</v>
      </c>
      <c r="K91" s="2">
        <f t="shared" si="75"/>
        <v>724.14193833333343</v>
      </c>
      <c r="L91" s="2">
        <f t="shared" si="75"/>
        <v>724.14193833333343</v>
      </c>
      <c r="M91" s="2">
        <f t="shared" si="75"/>
        <v>724.14193833333343</v>
      </c>
      <c r="N91" s="2">
        <f t="shared" si="75"/>
        <v>724.14193833333343</v>
      </c>
      <c r="O91" s="2">
        <f t="shared" si="75"/>
        <v>724.14193833333343</v>
      </c>
      <c r="P91" s="2">
        <f t="shared" si="75"/>
        <v>724.14193833333343</v>
      </c>
      <c r="Q91" s="2">
        <f t="shared" si="75"/>
        <v>724.14193833333343</v>
      </c>
      <c r="R91" s="2">
        <f t="shared" si="70"/>
        <v>8689.7032600000002</v>
      </c>
      <c r="S91" s="100">
        <f t="shared" si="71"/>
        <v>1.098644682044865E-2</v>
      </c>
    </row>
    <row r="92" spans="1:19" outlineLevel="4" x14ac:dyDescent="0.25">
      <c r="A92" s="1"/>
      <c r="B92" s="1"/>
      <c r="C92" s="1"/>
      <c r="D92" s="1"/>
      <c r="E92" s="1" t="s">
        <v>71</v>
      </c>
      <c r="F92" s="2">
        <v>0</v>
      </c>
      <c r="G92" s="2">
        <v>0</v>
      </c>
      <c r="H92" s="2">
        <v>0</v>
      </c>
      <c r="I92" s="2">
        <v>0</v>
      </c>
      <c r="J92" s="2">
        <v>0</v>
      </c>
      <c r="K92" s="2">
        <v>0</v>
      </c>
      <c r="L92" s="2">
        <v>0</v>
      </c>
      <c r="M92" s="2">
        <v>0</v>
      </c>
      <c r="N92" s="2">
        <v>0</v>
      </c>
      <c r="O92" s="2">
        <v>0</v>
      </c>
      <c r="P92" s="2">
        <v>0</v>
      </c>
      <c r="Q92" s="2">
        <v>0</v>
      </c>
      <c r="R92" s="2">
        <f t="shared" si="70"/>
        <v>0</v>
      </c>
      <c r="S92" s="100">
        <f t="shared" si="71"/>
        <v>0</v>
      </c>
    </row>
    <row r="93" spans="1:19" outlineLevel="4" x14ac:dyDescent="0.25">
      <c r="A93" s="1"/>
      <c r="B93" s="1"/>
      <c r="C93" s="1"/>
      <c r="D93" s="1"/>
      <c r="E93" s="1" t="s">
        <v>72</v>
      </c>
      <c r="F93" s="2">
        <v>0</v>
      </c>
      <c r="G93" s="2">
        <v>4000</v>
      </c>
      <c r="H93" s="2">
        <v>250</v>
      </c>
      <c r="I93" s="2">
        <f>+H93</f>
        <v>250</v>
      </c>
      <c r="J93" s="2">
        <v>0</v>
      </c>
      <c r="K93" s="2">
        <v>3500</v>
      </c>
      <c r="L93" s="2">
        <v>1000</v>
      </c>
      <c r="M93" s="2">
        <f>+L93</f>
        <v>1000</v>
      </c>
      <c r="N93" s="2">
        <f>+M93</f>
        <v>1000</v>
      </c>
      <c r="O93" s="2">
        <f>+N93</f>
        <v>1000</v>
      </c>
      <c r="P93" s="2">
        <f>+O93</f>
        <v>1000</v>
      </c>
      <c r="Q93" s="2">
        <v>0</v>
      </c>
      <c r="R93" s="2">
        <f t="shared" si="70"/>
        <v>13000</v>
      </c>
      <c r="S93" s="100">
        <f t="shared" si="71"/>
        <v>1.6435982264581088E-2</v>
      </c>
    </row>
    <row r="94" spans="1:19" outlineLevel="4" x14ac:dyDescent="0.25">
      <c r="A94" s="1"/>
      <c r="B94" s="1"/>
      <c r="C94" s="1"/>
      <c r="D94" s="1"/>
      <c r="E94" s="1" t="s">
        <v>352</v>
      </c>
      <c r="F94" s="2">
        <v>0</v>
      </c>
      <c r="G94" s="2">
        <v>3000</v>
      </c>
      <c r="H94" s="2">
        <v>800</v>
      </c>
      <c r="I94" s="2">
        <f>+H94</f>
        <v>800</v>
      </c>
      <c r="J94" s="2">
        <v>0</v>
      </c>
      <c r="K94" s="2">
        <v>3000</v>
      </c>
      <c r="L94" s="2">
        <v>1500</v>
      </c>
      <c r="M94" s="2">
        <f>+L94</f>
        <v>1500</v>
      </c>
      <c r="N94" s="2">
        <f>+M94</f>
        <v>1500</v>
      </c>
      <c r="O94" s="2">
        <f>+N94</f>
        <v>1500</v>
      </c>
      <c r="P94" s="2">
        <v>1000</v>
      </c>
      <c r="Q94" s="2">
        <v>0</v>
      </c>
      <c r="R94" s="2">
        <f t="shared" ref="R94" si="76">ROUND(SUM(F94:Q94),5)</f>
        <v>14600</v>
      </c>
      <c r="S94" s="100">
        <f t="shared" si="71"/>
        <v>1.8458872389452607E-2</v>
      </c>
    </row>
    <row r="95" spans="1:19" outlineLevel="4" x14ac:dyDescent="0.25">
      <c r="A95" s="1"/>
      <c r="B95" s="1"/>
      <c r="C95" s="1"/>
      <c r="D95" s="1"/>
      <c r="E95" s="1" t="s">
        <v>73</v>
      </c>
      <c r="F95" s="2">
        <v>0</v>
      </c>
      <c r="G95" s="2">
        <v>10000</v>
      </c>
      <c r="H95" s="2">
        <v>5000</v>
      </c>
      <c r="I95" s="2">
        <v>0</v>
      </c>
      <c r="J95" s="2">
        <v>0</v>
      </c>
      <c r="K95" s="2">
        <v>0</v>
      </c>
      <c r="L95" s="2">
        <v>0</v>
      </c>
      <c r="M95" s="2">
        <v>0</v>
      </c>
      <c r="N95" s="2">
        <v>5000</v>
      </c>
      <c r="O95" s="2">
        <v>0</v>
      </c>
      <c r="P95" s="2">
        <v>0</v>
      </c>
      <c r="Q95" s="2">
        <v>0</v>
      </c>
      <c r="R95" s="2">
        <f t="shared" si="70"/>
        <v>20000</v>
      </c>
      <c r="S95" s="100">
        <f t="shared" ref="S95:S102" si="77">R95/$R$103</f>
        <v>2.528612656089398E-2</v>
      </c>
    </row>
    <row r="96" spans="1:19" outlineLevel="4" x14ac:dyDescent="0.25">
      <c r="A96" s="1"/>
      <c r="B96" s="1"/>
      <c r="C96" s="1"/>
      <c r="D96" s="1"/>
      <c r="E96" s="1" t="s">
        <v>74</v>
      </c>
      <c r="F96" s="2">
        <v>3700</v>
      </c>
      <c r="G96" s="2">
        <f t="shared" ref="G96:Q96" si="78">+F96</f>
        <v>3700</v>
      </c>
      <c r="H96" s="2">
        <f t="shared" si="78"/>
        <v>3700</v>
      </c>
      <c r="I96" s="2">
        <f t="shared" si="78"/>
        <v>3700</v>
      </c>
      <c r="J96" s="2">
        <f t="shared" si="78"/>
        <v>3700</v>
      </c>
      <c r="K96" s="2">
        <f t="shared" si="78"/>
        <v>3700</v>
      </c>
      <c r="L96" s="2">
        <f t="shared" si="78"/>
        <v>3700</v>
      </c>
      <c r="M96" s="2">
        <f t="shared" si="78"/>
        <v>3700</v>
      </c>
      <c r="N96" s="2">
        <f t="shared" si="78"/>
        <v>3700</v>
      </c>
      <c r="O96" s="2">
        <f t="shared" si="78"/>
        <v>3700</v>
      </c>
      <c r="P96" s="2">
        <f t="shared" si="78"/>
        <v>3700</v>
      </c>
      <c r="Q96" s="2">
        <f t="shared" si="78"/>
        <v>3700</v>
      </c>
      <c r="R96" s="2">
        <f t="shared" si="70"/>
        <v>44400</v>
      </c>
      <c r="S96" s="100">
        <f t="shared" si="77"/>
        <v>5.6135200965184637E-2</v>
      </c>
    </row>
    <row r="97" spans="1:19" outlineLevel="4" x14ac:dyDescent="0.25">
      <c r="A97" s="1"/>
      <c r="B97" s="1"/>
      <c r="C97" s="1"/>
      <c r="D97" s="1"/>
      <c r="E97" s="1" t="s">
        <v>75</v>
      </c>
      <c r="F97" s="2">
        <v>0</v>
      </c>
      <c r="G97" s="2">
        <v>250</v>
      </c>
      <c r="H97" s="2">
        <v>0</v>
      </c>
      <c r="I97" s="2">
        <v>0</v>
      </c>
      <c r="J97" s="2">
        <v>0</v>
      </c>
      <c r="K97" s="2">
        <v>0</v>
      </c>
      <c r="L97" s="2">
        <v>250</v>
      </c>
      <c r="M97" s="2">
        <v>0</v>
      </c>
      <c r="N97" s="2">
        <v>0</v>
      </c>
      <c r="O97" s="2">
        <v>0</v>
      </c>
      <c r="P97" s="2">
        <v>300</v>
      </c>
      <c r="Q97" s="2">
        <v>0</v>
      </c>
      <c r="R97" s="2">
        <f t="shared" si="70"/>
        <v>800</v>
      </c>
      <c r="S97" s="100">
        <f t="shared" si="77"/>
        <v>1.0114450624357592E-3</v>
      </c>
    </row>
    <row r="98" spans="1:19" outlineLevel="4" x14ac:dyDescent="0.25">
      <c r="A98" s="1"/>
      <c r="B98" s="1"/>
      <c r="C98" s="1"/>
      <c r="D98" s="1"/>
      <c r="E98" s="1" t="s">
        <v>76</v>
      </c>
      <c r="F98" s="2">
        <v>0</v>
      </c>
      <c r="G98" s="2">
        <v>1400</v>
      </c>
      <c r="H98" s="2">
        <f>G98</f>
        <v>1400</v>
      </c>
      <c r="I98" s="2">
        <f>+H98</f>
        <v>1400</v>
      </c>
      <c r="J98" s="2">
        <f t="shared" ref="J98:P98" si="79">+I98</f>
        <v>1400</v>
      </c>
      <c r="K98" s="2">
        <f t="shared" si="79"/>
        <v>1400</v>
      </c>
      <c r="L98" s="2">
        <f t="shared" si="79"/>
        <v>1400</v>
      </c>
      <c r="M98" s="2">
        <f t="shared" si="79"/>
        <v>1400</v>
      </c>
      <c r="N98" s="2">
        <f t="shared" si="79"/>
        <v>1400</v>
      </c>
      <c r="O98" s="2">
        <f t="shared" si="79"/>
        <v>1400</v>
      </c>
      <c r="P98" s="2">
        <f t="shared" si="79"/>
        <v>1400</v>
      </c>
      <c r="Q98" s="2">
        <v>0</v>
      </c>
      <c r="R98" s="2">
        <f t="shared" si="70"/>
        <v>14000</v>
      </c>
      <c r="S98" s="100">
        <f t="shared" si="77"/>
        <v>1.7700288592625787E-2</v>
      </c>
    </row>
    <row r="99" spans="1:19" outlineLevel="4" x14ac:dyDescent="0.25">
      <c r="A99" s="1"/>
      <c r="B99" s="1"/>
      <c r="C99" s="1"/>
      <c r="D99" s="1"/>
      <c r="E99" s="1" t="s">
        <v>77</v>
      </c>
      <c r="F99" s="2">
        <v>3000</v>
      </c>
      <c r="G99" s="2">
        <v>5000</v>
      </c>
      <c r="H99" s="2">
        <v>6000</v>
      </c>
      <c r="I99" s="2">
        <v>2500</v>
      </c>
      <c r="J99" s="2">
        <v>2500</v>
      </c>
      <c r="K99" s="2">
        <v>1000</v>
      </c>
      <c r="L99" s="2">
        <v>3000</v>
      </c>
      <c r="M99" s="2">
        <v>2000</v>
      </c>
      <c r="N99" s="2">
        <v>500</v>
      </c>
      <c r="O99" s="2">
        <v>3000</v>
      </c>
      <c r="P99" s="2">
        <v>1000</v>
      </c>
      <c r="Q99" s="2">
        <v>500</v>
      </c>
      <c r="R99" s="2">
        <f t="shared" si="70"/>
        <v>30000</v>
      </c>
      <c r="S99" s="100">
        <f t="shared" si="77"/>
        <v>3.7929189841340971E-2</v>
      </c>
    </row>
    <row r="100" spans="1:19" outlineLevel="4" x14ac:dyDescent="0.25">
      <c r="A100" s="1"/>
      <c r="B100" s="1"/>
      <c r="C100" s="1"/>
      <c r="D100" s="1"/>
      <c r="E100" s="1" t="s">
        <v>300</v>
      </c>
      <c r="F100" s="2">
        <v>0</v>
      </c>
      <c r="G100" s="2">
        <v>0</v>
      </c>
      <c r="H100" s="2">
        <f t="shared" ref="H100:P100" si="80">+G100</f>
        <v>0</v>
      </c>
      <c r="I100" s="2">
        <f t="shared" si="80"/>
        <v>0</v>
      </c>
      <c r="J100" s="2">
        <f t="shared" si="80"/>
        <v>0</v>
      </c>
      <c r="K100" s="2">
        <f t="shared" si="80"/>
        <v>0</v>
      </c>
      <c r="L100" s="2">
        <f t="shared" si="80"/>
        <v>0</v>
      </c>
      <c r="M100" s="2">
        <f t="shared" si="80"/>
        <v>0</v>
      </c>
      <c r="N100" s="2">
        <f t="shared" si="80"/>
        <v>0</v>
      </c>
      <c r="O100" s="2">
        <f t="shared" si="80"/>
        <v>0</v>
      </c>
      <c r="P100" s="2">
        <f t="shared" si="80"/>
        <v>0</v>
      </c>
      <c r="Q100" s="2">
        <v>0</v>
      </c>
      <c r="R100" s="2">
        <f t="shared" si="70"/>
        <v>0</v>
      </c>
      <c r="S100" s="100">
        <f t="shared" si="77"/>
        <v>0</v>
      </c>
    </row>
    <row r="101" spans="1:19" outlineLevel="4" x14ac:dyDescent="0.25">
      <c r="A101" s="1"/>
      <c r="B101" s="1"/>
      <c r="C101" s="1"/>
      <c r="D101" s="1"/>
      <c r="E101" s="1" t="s">
        <v>78</v>
      </c>
      <c r="F101" s="2">
        <v>0</v>
      </c>
      <c r="G101" s="2">
        <v>2500</v>
      </c>
      <c r="H101" s="2">
        <v>0</v>
      </c>
      <c r="I101" s="2">
        <v>0</v>
      </c>
      <c r="J101" s="2">
        <v>0</v>
      </c>
      <c r="K101" s="2">
        <v>2500</v>
      </c>
      <c r="L101" s="2">
        <v>0</v>
      </c>
      <c r="M101" s="2">
        <v>0</v>
      </c>
      <c r="N101" s="2">
        <v>2500</v>
      </c>
      <c r="O101" s="2">
        <v>0</v>
      </c>
      <c r="P101" s="2">
        <v>0</v>
      </c>
      <c r="Q101" s="2">
        <v>0</v>
      </c>
      <c r="R101" s="2">
        <f t="shared" si="70"/>
        <v>7500</v>
      </c>
      <c r="S101" s="100">
        <f t="shared" si="77"/>
        <v>9.4822974603352428E-3</v>
      </c>
    </row>
    <row r="102" spans="1:19" ht="15.75" outlineLevel="4" thickBot="1" x14ac:dyDescent="0.3">
      <c r="A102" s="1"/>
      <c r="B102" s="1"/>
      <c r="C102" s="1"/>
      <c r="D102" s="1"/>
      <c r="E102" s="1" t="s">
        <v>79</v>
      </c>
      <c r="F102" s="3">
        <v>0</v>
      </c>
      <c r="G102" s="3">
        <v>0</v>
      </c>
      <c r="H102" s="3">
        <v>0</v>
      </c>
      <c r="I102" s="3">
        <v>0</v>
      </c>
      <c r="J102" s="3">
        <v>0</v>
      </c>
      <c r="K102" s="3">
        <v>0</v>
      </c>
      <c r="L102" s="3">
        <v>0</v>
      </c>
      <c r="M102" s="3">
        <v>0</v>
      </c>
      <c r="N102" s="3">
        <v>0</v>
      </c>
      <c r="O102" s="3">
        <v>0</v>
      </c>
      <c r="P102" s="3">
        <v>0</v>
      </c>
      <c r="Q102" s="3">
        <v>0</v>
      </c>
      <c r="R102" s="3">
        <f t="shared" si="70"/>
        <v>0</v>
      </c>
      <c r="S102" s="100">
        <f t="shared" si="77"/>
        <v>0</v>
      </c>
    </row>
    <row r="103" spans="1:19" outlineLevel="3" x14ac:dyDescent="0.25">
      <c r="A103" s="1"/>
      <c r="B103" s="1"/>
      <c r="C103" s="1"/>
      <c r="D103" s="1" t="s">
        <v>80</v>
      </c>
      <c r="E103" s="1"/>
      <c r="F103" s="2">
        <f t="shared" ref="F103:Q103" si="81">ROUND(SUM(F85:F102),5)</f>
        <v>60587.296320000001</v>
      </c>
      <c r="G103" s="2">
        <f t="shared" si="81"/>
        <v>83737.296319999994</v>
      </c>
      <c r="H103" s="2">
        <f t="shared" si="81"/>
        <v>71037.296319999994</v>
      </c>
      <c r="I103" s="2">
        <f t="shared" si="81"/>
        <v>62537.296320000001</v>
      </c>
      <c r="J103" s="2">
        <f t="shared" si="81"/>
        <v>61487.296320000001</v>
      </c>
      <c r="K103" s="2">
        <f t="shared" si="81"/>
        <v>68987.296319999994</v>
      </c>
      <c r="L103" s="2">
        <f t="shared" si="81"/>
        <v>64737.296320000001</v>
      </c>
      <c r="M103" s="2">
        <f t="shared" si="81"/>
        <v>63487.296320000001</v>
      </c>
      <c r="N103" s="2">
        <f t="shared" si="81"/>
        <v>69487.296319999994</v>
      </c>
      <c r="O103" s="2">
        <f t="shared" si="81"/>
        <v>64487.296320000001</v>
      </c>
      <c r="P103" s="2">
        <f t="shared" si="81"/>
        <v>62287.296320000001</v>
      </c>
      <c r="Q103" s="2">
        <f t="shared" si="81"/>
        <v>58087.296320000001</v>
      </c>
      <c r="R103" s="2">
        <f t="shared" si="70"/>
        <v>790947.55584000004</v>
      </c>
      <c r="S103" s="102">
        <f>SUM(S86:S102)</f>
        <v>0.999999999974714</v>
      </c>
    </row>
    <row r="104" spans="1:19" outlineLevel="4" x14ac:dyDescent="0.25">
      <c r="A104" s="1"/>
      <c r="B104" s="1"/>
      <c r="C104" s="1"/>
      <c r="D104" s="1" t="s">
        <v>81</v>
      </c>
      <c r="E104" s="1"/>
      <c r="F104" s="2"/>
      <c r="G104" s="2"/>
      <c r="H104" s="2"/>
      <c r="I104" s="2"/>
      <c r="J104" s="2"/>
      <c r="K104" s="2"/>
      <c r="L104" s="2"/>
      <c r="M104" s="2"/>
      <c r="N104" s="2"/>
      <c r="O104" s="2"/>
      <c r="P104" s="2"/>
      <c r="Q104" s="2"/>
      <c r="R104" s="2"/>
      <c r="S104" s="100"/>
    </row>
    <row r="105" spans="1:19" outlineLevel="4" x14ac:dyDescent="0.25">
      <c r="A105" s="1"/>
      <c r="B105" s="1"/>
      <c r="C105" s="1"/>
      <c r="D105" s="1"/>
      <c r="E105" s="1" t="s">
        <v>82</v>
      </c>
      <c r="F105" s="2">
        <v>0</v>
      </c>
      <c r="G105" s="2">
        <f t="shared" ref="G105:Q105" si="82">+F105</f>
        <v>0</v>
      </c>
      <c r="H105" s="2">
        <f t="shared" si="82"/>
        <v>0</v>
      </c>
      <c r="I105" s="2">
        <f t="shared" si="82"/>
        <v>0</v>
      </c>
      <c r="J105" s="2">
        <f t="shared" si="82"/>
        <v>0</v>
      </c>
      <c r="K105" s="2">
        <f t="shared" si="82"/>
        <v>0</v>
      </c>
      <c r="L105" s="2">
        <f t="shared" si="82"/>
        <v>0</v>
      </c>
      <c r="M105" s="2">
        <f t="shared" si="82"/>
        <v>0</v>
      </c>
      <c r="N105" s="2">
        <f t="shared" si="82"/>
        <v>0</v>
      </c>
      <c r="O105" s="2">
        <f t="shared" si="82"/>
        <v>0</v>
      </c>
      <c r="P105" s="2">
        <f t="shared" si="82"/>
        <v>0</v>
      </c>
      <c r="Q105" s="2">
        <f t="shared" si="82"/>
        <v>0</v>
      </c>
      <c r="R105" s="2">
        <f>ROUND(SUM(F105:Q105),5)</f>
        <v>0</v>
      </c>
      <c r="S105" s="100">
        <f>R105/$R$108</f>
        <v>0</v>
      </c>
    </row>
    <row r="106" spans="1:19" outlineLevel="4" x14ac:dyDescent="0.25">
      <c r="A106" s="1"/>
      <c r="B106" s="1"/>
      <c r="C106" s="1"/>
      <c r="D106" s="1"/>
      <c r="E106" s="1" t="s">
        <v>311</v>
      </c>
      <c r="F106" s="2"/>
      <c r="G106" s="2"/>
      <c r="H106" s="2"/>
      <c r="I106" s="2"/>
      <c r="J106" s="2">
        <v>7500</v>
      </c>
      <c r="K106" s="2"/>
      <c r="L106" s="2"/>
      <c r="M106" s="2"/>
      <c r="N106" s="2"/>
      <c r="O106" s="2"/>
      <c r="P106" s="2"/>
      <c r="Q106" s="2"/>
      <c r="R106" s="2">
        <f>ROUND(SUM(F106:Q106),5)</f>
        <v>7500</v>
      </c>
      <c r="S106" s="100">
        <f>R106/$R$108</f>
        <v>1</v>
      </c>
    </row>
    <row r="107" spans="1:19" ht="15.75" outlineLevel="4" thickBot="1" x14ac:dyDescent="0.3">
      <c r="A107" s="1"/>
      <c r="B107" s="1"/>
      <c r="C107" s="1"/>
      <c r="D107" s="1"/>
      <c r="E107" s="1" t="s">
        <v>83</v>
      </c>
      <c r="F107" s="3">
        <v>0</v>
      </c>
      <c r="G107" s="3">
        <v>0</v>
      </c>
      <c r="H107" s="3">
        <v>0</v>
      </c>
      <c r="I107" s="3">
        <v>0</v>
      </c>
      <c r="J107" s="3">
        <v>0</v>
      </c>
      <c r="K107" s="3">
        <v>0</v>
      </c>
      <c r="L107" s="3">
        <v>0</v>
      </c>
      <c r="M107" s="3">
        <v>0</v>
      </c>
      <c r="N107" s="3">
        <v>0</v>
      </c>
      <c r="O107" s="3">
        <v>0</v>
      </c>
      <c r="P107" s="3">
        <v>0</v>
      </c>
      <c r="Q107" s="3">
        <v>0</v>
      </c>
      <c r="R107" s="3">
        <f>ROUND(SUM(F107:Q107),5)</f>
        <v>0</v>
      </c>
      <c r="S107" s="100">
        <f>R107/$R$108</f>
        <v>0</v>
      </c>
    </row>
    <row r="108" spans="1:19" outlineLevel="3" x14ac:dyDescent="0.25">
      <c r="A108" s="1"/>
      <c r="B108" s="1"/>
      <c r="C108" s="1"/>
      <c r="D108" s="1" t="s">
        <v>84</v>
      </c>
      <c r="E108" s="1"/>
      <c r="F108" s="2">
        <f t="shared" ref="F108:Q108" si="83">ROUND(SUM(F104:F107),5)</f>
        <v>0</v>
      </c>
      <c r="G108" s="2">
        <f t="shared" si="83"/>
        <v>0</v>
      </c>
      <c r="H108" s="2">
        <f t="shared" si="83"/>
        <v>0</v>
      </c>
      <c r="I108" s="2">
        <f t="shared" si="83"/>
        <v>0</v>
      </c>
      <c r="J108" s="2">
        <f t="shared" si="83"/>
        <v>7500</v>
      </c>
      <c r="K108" s="2">
        <f t="shared" si="83"/>
        <v>0</v>
      </c>
      <c r="L108" s="2">
        <f t="shared" si="83"/>
        <v>0</v>
      </c>
      <c r="M108" s="2">
        <f t="shared" si="83"/>
        <v>0</v>
      </c>
      <c r="N108" s="2">
        <f t="shared" si="83"/>
        <v>0</v>
      </c>
      <c r="O108" s="2">
        <f t="shared" si="83"/>
        <v>0</v>
      </c>
      <c r="P108" s="2">
        <f t="shared" si="83"/>
        <v>0</v>
      </c>
      <c r="Q108" s="2">
        <f t="shared" si="83"/>
        <v>0</v>
      </c>
      <c r="R108" s="2">
        <f>ROUND(SUM(F108:Q108),5)</f>
        <v>7500</v>
      </c>
      <c r="S108" s="102">
        <f>SUM(S105:S107)</f>
        <v>1</v>
      </c>
    </row>
    <row r="109" spans="1:19" outlineLevel="4" x14ac:dyDescent="0.25">
      <c r="A109" s="1"/>
      <c r="B109" s="1"/>
      <c r="C109" s="1"/>
      <c r="D109" s="1" t="s">
        <v>85</v>
      </c>
      <c r="E109" s="1"/>
      <c r="F109" s="2"/>
      <c r="G109" s="2"/>
      <c r="H109" s="2"/>
      <c r="I109" s="2"/>
      <c r="J109" s="2"/>
      <c r="K109" s="2"/>
      <c r="L109" s="2"/>
      <c r="M109" s="2"/>
      <c r="N109" s="2"/>
      <c r="O109" s="2"/>
      <c r="P109" s="2"/>
      <c r="Q109" s="2"/>
      <c r="R109" s="2"/>
      <c r="S109" s="100"/>
    </row>
    <row r="110" spans="1:19" ht="15.75" outlineLevel="4" thickBot="1" x14ac:dyDescent="0.3">
      <c r="A110" s="1"/>
      <c r="B110" s="1"/>
      <c r="C110" s="1"/>
      <c r="D110" s="1"/>
      <c r="E110" s="1" t="s">
        <v>86</v>
      </c>
      <c r="F110" s="3">
        <f>(FEFP!$C$28*100/12)+2000</f>
        <v>7433.333333333333</v>
      </c>
      <c r="G110" s="3">
        <f>(FEFP!$C$28*100/12)+2000</f>
        <v>7433.333333333333</v>
      </c>
      <c r="H110" s="3">
        <f>(FEFP!$C$28*100/12)+2000</f>
        <v>7433.333333333333</v>
      </c>
      <c r="I110" s="3">
        <f>(FEFP!$C$28*100/12)+2000</f>
        <v>7433.333333333333</v>
      </c>
      <c r="J110" s="3">
        <f>(FEFP!$C$28*100/12)+2000</f>
        <v>7433.333333333333</v>
      </c>
      <c r="K110" s="3">
        <f>(FEFP!$C$28*100/12)+2000</f>
        <v>7433.333333333333</v>
      </c>
      <c r="L110" s="3">
        <f>(FEFP!$C$28*100/12)+2000</f>
        <v>7433.333333333333</v>
      </c>
      <c r="M110" s="3">
        <f>(FEFP!$C$28*100/12)+2000</f>
        <v>7433.333333333333</v>
      </c>
      <c r="N110" s="3">
        <f>(FEFP!$C$28*100/12)+2000</f>
        <v>7433.333333333333</v>
      </c>
      <c r="O110" s="3">
        <f>(FEFP!$C$28*100/12)+2000</f>
        <v>7433.333333333333</v>
      </c>
      <c r="P110" s="3">
        <f>(FEFP!$C$28*100/12)+2000</f>
        <v>7433.333333333333</v>
      </c>
      <c r="Q110" s="3">
        <f>(FEFP!$C$28*100/12)+2000</f>
        <v>7433.333333333333</v>
      </c>
      <c r="R110" s="3">
        <f>ROUND(SUM(F110:Q110),5)</f>
        <v>89200</v>
      </c>
      <c r="S110" s="100">
        <f>R110/R111</f>
        <v>1.0000000004484304</v>
      </c>
    </row>
    <row r="111" spans="1:19" ht="15.75" outlineLevel="3" thickBot="1" x14ac:dyDescent="0.3">
      <c r="A111" s="1"/>
      <c r="B111" s="1"/>
      <c r="C111" s="1"/>
      <c r="D111" s="1" t="s">
        <v>87</v>
      </c>
      <c r="E111" s="1"/>
      <c r="F111" s="2">
        <f t="shared" ref="F111:Q111" si="84">ROUND(SUM(F109:F110),5)</f>
        <v>7433.3333300000004</v>
      </c>
      <c r="G111" s="2">
        <f t="shared" si="84"/>
        <v>7433.3333300000004</v>
      </c>
      <c r="H111" s="2">
        <f t="shared" si="84"/>
        <v>7433.3333300000004</v>
      </c>
      <c r="I111" s="2">
        <f t="shared" si="84"/>
        <v>7433.3333300000004</v>
      </c>
      <c r="J111" s="2">
        <f t="shared" si="84"/>
        <v>7433.3333300000004</v>
      </c>
      <c r="K111" s="2">
        <f t="shared" si="84"/>
        <v>7433.3333300000004</v>
      </c>
      <c r="L111" s="2">
        <f t="shared" si="84"/>
        <v>7433.3333300000004</v>
      </c>
      <c r="M111" s="2">
        <f t="shared" si="84"/>
        <v>7433.3333300000004</v>
      </c>
      <c r="N111" s="2">
        <f t="shared" si="84"/>
        <v>7433.3333300000004</v>
      </c>
      <c r="O111" s="2">
        <f t="shared" si="84"/>
        <v>7433.3333300000004</v>
      </c>
      <c r="P111" s="2">
        <f t="shared" si="84"/>
        <v>7433.3333300000004</v>
      </c>
      <c r="Q111" s="2">
        <f t="shared" si="84"/>
        <v>7433.3333300000004</v>
      </c>
      <c r="R111" s="2">
        <f>ROUND(SUM(F111:Q111),5)</f>
        <v>89199.999960000001</v>
      </c>
      <c r="S111" s="102">
        <f>+S110</f>
        <v>1.0000000004484304</v>
      </c>
    </row>
    <row r="112" spans="1:19" hidden="1" outlineLevel="4" x14ac:dyDescent="0.25">
      <c r="A112" s="1"/>
      <c r="B112" s="1"/>
      <c r="C112" s="1"/>
      <c r="D112" s="1" t="s">
        <v>88</v>
      </c>
      <c r="E112" s="1"/>
      <c r="F112" s="2"/>
      <c r="G112" s="2"/>
      <c r="H112" s="2"/>
      <c r="I112" s="2"/>
      <c r="J112" s="2"/>
      <c r="K112" s="2"/>
      <c r="L112" s="2"/>
      <c r="M112" s="2"/>
      <c r="N112" s="2"/>
      <c r="O112" s="2"/>
      <c r="P112" s="2"/>
      <c r="Q112" s="2"/>
      <c r="R112" s="2"/>
      <c r="S112" s="100"/>
    </row>
    <row r="113" spans="1:19" ht="15.75" hidden="1" outlineLevel="4" thickBot="1" x14ac:dyDescent="0.3">
      <c r="A113" s="1"/>
      <c r="B113" s="1"/>
      <c r="C113" s="1"/>
      <c r="D113" s="1"/>
      <c r="E113" s="1" t="s">
        <v>353</v>
      </c>
      <c r="F113" s="3">
        <v>0</v>
      </c>
      <c r="G113" s="3">
        <v>0</v>
      </c>
      <c r="H113" s="3">
        <v>500</v>
      </c>
      <c r="I113" s="3">
        <v>0</v>
      </c>
      <c r="J113" s="3">
        <v>0</v>
      </c>
      <c r="K113" s="3">
        <v>0</v>
      </c>
      <c r="L113" s="3">
        <v>0</v>
      </c>
      <c r="M113" s="3">
        <v>500</v>
      </c>
      <c r="N113" s="3">
        <v>0</v>
      </c>
      <c r="O113" s="3">
        <v>0</v>
      </c>
      <c r="P113" s="3">
        <v>0</v>
      </c>
      <c r="Q113" s="3">
        <v>0</v>
      </c>
      <c r="R113" s="3">
        <f>ROUND(SUM(F113:Q113),5)</f>
        <v>1000</v>
      </c>
      <c r="S113" s="100">
        <f>R113/R114</f>
        <v>1</v>
      </c>
    </row>
    <row r="114" spans="1:19" outlineLevel="3" collapsed="1" x14ac:dyDescent="0.25">
      <c r="A114" s="1"/>
      <c r="B114" s="1"/>
      <c r="C114" s="1"/>
      <c r="D114" s="1" t="s">
        <v>89</v>
      </c>
      <c r="E114" s="1"/>
      <c r="F114" s="2">
        <f t="shared" ref="F114:Q114" si="85">ROUND(SUM(F112:F113),5)</f>
        <v>0</v>
      </c>
      <c r="G114" s="2">
        <f t="shared" si="85"/>
        <v>0</v>
      </c>
      <c r="H114" s="2">
        <f t="shared" si="85"/>
        <v>500</v>
      </c>
      <c r="I114" s="2">
        <f t="shared" si="85"/>
        <v>0</v>
      </c>
      <c r="J114" s="2">
        <f t="shared" si="85"/>
        <v>0</v>
      </c>
      <c r="K114" s="2">
        <f t="shared" si="85"/>
        <v>0</v>
      </c>
      <c r="L114" s="2">
        <f t="shared" si="85"/>
        <v>0</v>
      </c>
      <c r="M114" s="2">
        <f t="shared" si="85"/>
        <v>500</v>
      </c>
      <c r="N114" s="2">
        <f t="shared" si="85"/>
        <v>0</v>
      </c>
      <c r="O114" s="2">
        <f t="shared" si="85"/>
        <v>0</v>
      </c>
      <c r="P114" s="2">
        <f t="shared" si="85"/>
        <v>0</v>
      </c>
      <c r="Q114" s="2">
        <f t="shared" si="85"/>
        <v>0</v>
      </c>
      <c r="R114" s="2">
        <f>ROUND(SUM(F114:Q114),5)</f>
        <v>1000</v>
      </c>
      <c r="S114" s="102">
        <f>+S113</f>
        <v>1</v>
      </c>
    </row>
    <row r="115" spans="1:19" outlineLevel="4" x14ac:dyDescent="0.25">
      <c r="A115" s="1"/>
      <c r="B115" s="1"/>
      <c r="C115" s="1"/>
      <c r="D115" s="1" t="s">
        <v>90</v>
      </c>
      <c r="E115" s="1"/>
      <c r="F115" s="2"/>
      <c r="G115" s="2"/>
      <c r="H115" s="2"/>
      <c r="I115" s="2"/>
      <c r="J115" s="2"/>
      <c r="K115" s="2"/>
      <c r="L115" s="2"/>
      <c r="M115" s="2"/>
      <c r="N115" s="2"/>
      <c r="O115" s="2"/>
      <c r="P115" s="2"/>
      <c r="Q115" s="2"/>
      <c r="R115" s="2"/>
      <c r="S115" s="100"/>
    </row>
    <row r="116" spans="1:19" outlineLevel="4" x14ac:dyDescent="0.25">
      <c r="A116" s="1"/>
      <c r="B116" s="1"/>
      <c r="C116" s="1"/>
      <c r="D116" s="1"/>
      <c r="E116" s="1" t="s">
        <v>309</v>
      </c>
      <c r="F116" s="2">
        <v>0</v>
      </c>
      <c r="G116" s="2">
        <v>0</v>
      </c>
      <c r="H116" s="2">
        <f t="shared" ref="H116:P116" si="86">+G116</f>
        <v>0</v>
      </c>
      <c r="I116" s="2">
        <f t="shared" si="86"/>
        <v>0</v>
      </c>
      <c r="J116" s="2">
        <f t="shared" si="86"/>
        <v>0</v>
      </c>
      <c r="K116" s="2">
        <f t="shared" si="86"/>
        <v>0</v>
      </c>
      <c r="L116" s="2">
        <f t="shared" si="86"/>
        <v>0</v>
      </c>
      <c r="M116" s="2">
        <f t="shared" si="86"/>
        <v>0</v>
      </c>
      <c r="N116" s="2">
        <f t="shared" si="86"/>
        <v>0</v>
      </c>
      <c r="O116" s="2">
        <f t="shared" si="86"/>
        <v>0</v>
      </c>
      <c r="P116" s="2">
        <f t="shared" si="86"/>
        <v>0</v>
      </c>
      <c r="Q116" s="2">
        <v>0</v>
      </c>
      <c r="R116" s="2">
        <f t="shared" ref="R116:R122" si="87">ROUND(SUM(F116:Q116),5)</f>
        <v>0</v>
      </c>
      <c r="S116" s="100" t="e">
        <f t="shared" ref="S116:S121" si="88">R116/$R$122</f>
        <v>#DIV/0!</v>
      </c>
    </row>
    <row r="117" spans="1:19" outlineLevel="4" x14ac:dyDescent="0.25">
      <c r="A117" s="1"/>
      <c r="B117" s="1"/>
      <c r="C117" s="1"/>
      <c r="D117" s="1"/>
      <c r="E117" s="1" t="s">
        <v>307</v>
      </c>
      <c r="F117" s="2">
        <f>+F116*0.062</f>
        <v>0</v>
      </c>
      <c r="G117" s="2">
        <f t="shared" ref="G117:Q117" si="89">+G116*0.062</f>
        <v>0</v>
      </c>
      <c r="H117" s="2">
        <f t="shared" si="89"/>
        <v>0</v>
      </c>
      <c r="I117" s="2">
        <f t="shared" si="89"/>
        <v>0</v>
      </c>
      <c r="J117" s="2">
        <f t="shared" si="89"/>
        <v>0</v>
      </c>
      <c r="K117" s="2">
        <f t="shared" si="89"/>
        <v>0</v>
      </c>
      <c r="L117" s="2">
        <f t="shared" si="89"/>
        <v>0</v>
      </c>
      <c r="M117" s="2">
        <f t="shared" si="89"/>
        <v>0</v>
      </c>
      <c r="N117" s="2">
        <f t="shared" si="89"/>
        <v>0</v>
      </c>
      <c r="O117" s="2">
        <f t="shared" si="89"/>
        <v>0</v>
      </c>
      <c r="P117" s="2">
        <f t="shared" si="89"/>
        <v>0</v>
      </c>
      <c r="Q117" s="2">
        <f t="shared" si="89"/>
        <v>0</v>
      </c>
      <c r="R117" s="2">
        <f t="shared" si="87"/>
        <v>0</v>
      </c>
      <c r="S117" s="100" t="e">
        <f t="shared" si="88"/>
        <v>#DIV/0!</v>
      </c>
    </row>
    <row r="118" spans="1:19" outlineLevel="4" x14ac:dyDescent="0.25">
      <c r="A118" s="1"/>
      <c r="B118" s="1"/>
      <c r="C118" s="1"/>
      <c r="D118" s="1"/>
      <c r="E118" s="1" t="s">
        <v>305</v>
      </c>
      <c r="F118" s="2">
        <v>0</v>
      </c>
      <c r="G118" s="2">
        <v>0</v>
      </c>
      <c r="H118" s="2">
        <f t="shared" ref="H118:P118" si="90">+G118</f>
        <v>0</v>
      </c>
      <c r="I118" s="2">
        <f t="shared" si="90"/>
        <v>0</v>
      </c>
      <c r="J118" s="2">
        <f t="shared" si="90"/>
        <v>0</v>
      </c>
      <c r="K118" s="2">
        <f t="shared" si="90"/>
        <v>0</v>
      </c>
      <c r="L118" s="2">
        <f t="shared" si="90"/>
        <v>0</v>
      </c>
      <c r="M118" s="2">
        <f t="shared" si="90"/>
        <v>0</v>
      </c>
      <c r="N118" s="2">
        <f t="shared" si="90"/>
        <v>0</v>
      </c>
      <c r="O118" s="2">
        <f t="shared" si="90"/>
        <v>0</v>
      </c>
      <c r="P118" s="2">
        <f t="shared" si="90"/>
        <v>0</v>
      </c>
      <c r="Q118" s="2">
        <v>0</v>
      </c>
      <c r="R118" s="2">
        <f t="shared" si="87"/>
        <v>0</v>
      </c>
      <c r="S118" s="100" t="e">
        <f t="shared" si="88"/>
        <v>#DIV/0!</v>
      </c>
    </row>
    <row r="119" spans="1:19" outlineLevel="4" x14ac:dyDescent="0.25">
      <c r="A119" s="1"/>
      <c r="B119" s="1"/>
      <c r="C119" s="1"/>
      <c r="D119" s="1"/>
      <c r="E119" s="1" t="s">
        <v>306</v>
      </c>
      <c r="F119" s="2">
        <f>+F116*0.0145</f>
        <v>0</v>
      </c>
      <c r="G119" s="2">
        <f t="shared" ref="G119:Q119" si="91">+G116*0.0145</f>
        <v>0</v>
      </c>
      <c r="H119" s="2">
        <f t="shared" si="91"/>
        <v>0</v>
      </c>
      <c r="I119" s="2">
        <f t="shared" si="91"/>
        <v>0</v>
      </c>
      <c r="J119" s="2">
        <f t="shared" si="91"/>
        <v>0</v>
      </c>
      <c r="K119" s="2">
        <f t="shared" si="91"/>
        <v>0</v>
      </c>
      <c r="L119" s="2">
        <f t="shared" si="91"/>
        <v>0</v>
      </c>
      <c r="M119" s="2">
        <f t="shared" si="91"/>
        <v>0</v>
      </c>
      <c r="N119" s="2">
        <f t="shared" si="91"/>
        <v>0</v>
      </c>
      <c r="O119" s="2">
        <f t="shared" si="91"/>
        <v>0</v>
      </c>
      <c r="P119" s="2">
        <f t="shared" si="91"/>
        <v>0</v>
      </c>
      <c r="Q119" s="2">
        <f t="shared" si="91"/>
        <v>0</v>
      </c>
      <c r="R119" s="2">
        <f t="shared" si="87"/>
        <v>0</v>
      </c>
      <c r="S119" s="100" t="e">
        <f t="shared" si="88"/>
        <v>#DIV/0!</v>
      </c>
    </row>
    <row r="120" spans="1:19" outlineLevel="4" x14ac:dyDescent="0.25">
      <c r="A120" s="1"/>
      <c r="B120" s="1"/>
      <c r="C120" s="1"/>
      <c r="D120" s="1"/>
      <c r="E120" s="1" t="s">
        <v>91</v>
      </c>
      <c r="F120" s="2">
        <v>0</v>
      </c>
      <c r="G120" s="2">
        <v>0</v>
      </c>
      <c r="H120" s="2">
        <f t="shared" ref="H120:P120" si="92">+G120</f>
        <v>0</v>
      </c>
      <c r="I120" s="2">
        <f t="shared" si="92"/>
        <v>0</v>
      </c>
      <c r="J120" s="2">
        <f t="shared" si="92"/>
        <v>0</v>
      </c>
      <c r="K120" s="2">
        <f t="shared" si="92"/>
        <v>0</v>
      </c>
      <c r="L120" s="2">
        <f t="shared" si="92"/>
        <v>0</v>
      </c>
      <c r="M120" s="2">
        <f t="shared" si="92"/>
        <v>0</v>
      </c>
      <c r="N120" s="2">
        <f t="shared" si="92"/>
        <v>0</v>
      </c>
      <c r="O120" s="2">
        <f t="shared" si="92"/>
        <v>0</v>
      </c>
      <c r="P120" s="2">
        <f t="shared" si="92"/>
        <v>0</v>
      </c>
      <c r="Q120" s="2">
        <v>0</v>
      </c>
      <c r="R120" s="2">
        <f t="shared" si="87"/>
        <v>0</v>
      </c>
      <c r="S120" s="100" t="e">
        <f t="shared" si="88"/>
        <v>#DIV/0!</v>
      </c>
    </row>
    <row r="121" spans="1:19" ht="15.75" outlineLevel="4" thickBot="1" x14ac:dyDescent="0.3">
      <c r="A121" s="1"/>
      <c r="B121" s="1"/>
      <c r="C121" s="1"/>
      <c r="D121" s="1"/>
      <c r="E121" s="1" t="s">
        <v>344</v>
      </c>
      <c r="F121" s="3">
        <v>0</v>
      </c>
      <c r="G121" s="3">
        <v>0</v>
      </c>
      <c r="H121" s="3">
        <v>0</v>
      </c>
      <c r="I121" s="3">
        <v>0</v>
      </c>
      <c r="J121" s="3">
        <v>0</v>
      </c>
      <c r="K121" s="3">
        <v>0</v>
      </c>
      <c r="L121" s="3">
        <v>0</v>
      </c>
      <c r="M121" s="3">
        <v>0</v>
      </c>
      <c r="N121" s="3">
        <v>0</v>
      </c>
      <c r="O121" s="3">
        <v>0</v>
      </c>
      <c r="P121" s="3">
        <v>0</v>
      </c>
      <c r="Q121" s="3">
        <v>0</v>
      </c>
      <c r="R121" s="3">
        <f t="shared" si="87"/>
        <v>0</v>
      </c>
      <c r="S121" s="100" t="e">
        <f t="shared" si="88"/>
        <v>#DIV/0!</v>
      </c>
    </row>
    <row r="122" spans="1:19" outlineLevel="3" x14ac:dyDescent="0.25">
      <c r="A122" s="1"/>
      <c r="B122" s="1"/>
      <c r="C122" s="1"/>
      <c r="D122" s="1" t="s">
        <v>92</v>
      </c>
      <c r="E122" s="1"/>
      <c r="F122" s="2">
        <f t="shared" ref="F122:Q122" si="93">ROUND(SUM(F115:F121),5)</f>
        <v>0</v>
      </c>
      <c r="G122" s="2">
        <f t="shared" si="93"/>
        <v>0</v>
      </c>
      <c r="H122" s="2">
        <f t="shared" si="93"/>
        <v>0</v>
      </c>
      <c r="I122" s="2">
        <f t="shared" si="93"/>
        <v>0</v>
      </c>
      <c r="J122" s="2">
        <f t="shared" si="93"/>
        <v>0</v>
      </c>
      <c r="K122" s="2">
        <f t="shared" si="93"/>
        <v>0</v>
      </c>
      <c r="L122" s="2">
        <f t="shared" si="93"/>
        <v>0</v>
      </c>
      <c r="M122" s="2">
        <f t="shared" si="93"/>
        <v>0</v>
      </c>
      <c r="N122" s="2">
        <f t="shared" si="93"/>
        <v>0</v>
      </c>
      <c r="O122" s="2">
        <f t="shared" si="93"/>
        <v>0</v>
      </c>
      <c r="P122" s="2">
        <f t="shared" si="93"/>
        <v>0</v>
      </c>
      <c r="Q122" s="2">
        <f t="shared" si="93"/>
        <v>0</v>
      </c>
      <c r="R122" s="2">
        <f t="shared" si="87"/>
        <v>0</v>
      </c>
      <c r="S122" s="102">
        <v>1</v>
      </c>
    </row>
    <row r="123" spans="1:19" outlineLevel="4" x14ac:dyDescent="0.25">
      <c r="A123" s="1"/>
      <c r="B123" s="1"/>
      <c r="C123" s="1"/>
      <c r="D123" s="1" t="s">
        <v>93</v>
      </c>
      <c r="E123" s="1"/>
      <c r="F123" s="2"/>
      <c r="G123" s="2"/>
      <c r="H123" s="2"/>
      <c r="I123" s="2"/>
      <c r="J123" s="2"/>
      <c r="K123" s="2"/>
      <c r="L123" s="2"/>
      <c r="M123" s="2"/>
      <c r="N123" s="2"/>
      <c r="O123" s="2"/>
      <c r="P123" s="2"/>
      <c r="Q123" s="2"/>
      <c r="R123" s="2"/>
      <c r="S123" s="100"/>
    </row>
    <row r="124" spans="1:19" outlineLevel="4" x14ac:dyDescent="0.25">
      <c r="A124" s="1"/>
      <c r="B124" s="1"/>
      <c r="C124" s="1"/>
      <c r="D124" s="1"/>
      <c r="E124" s="1" t="s">
        <v>94</v>
      </c>
      <c r="F124" s="2">
        <f>(Salaries!I104)/12</f>
        <v>34317.668333333335</v>
      </c>
      <c r="G124" s="2">
        <f t="shared" ref="G124:Q124" si="94">+F124</f>
        <v>34317.668333333335</v>
      </c>
      <c r="H124" s="2">
        <f t="shared" si="94"/>
        <v>34317.668333333335</v>
      </c>
      <c r="I124" s="2">
        <f t="shared" si="94"/>
        <v>34317.668333333335</v>
      </c>
      <c r="J124" s="2">
        <f t="shared" si="94"/>
        <v>34317.668333333335</v>
      </c>
      <c r="K124" s="2">
        <f t="shared" si="94"/>
        <v>34317.668333333335</v>
      </c>
      <c r="L124" s="2">
        <f t="shared" si="94"/>
        <v>34317.668333333335</v>
      </c>
      <c r="M124" s="2">
        <f t="shared" si="94"/>
        <v>34317.668333333335</v>
      </c>
      <c r="N124" s="2">
        <f t="shared" si="94"/>
        <v>34317.668333333335</v>
      </c>
      <c r="O124" s="2">
        <f t="shared" si="94"/>
        <v>34317.668333333335</v>
      </c>
      <c r="P124" s="2">
        <f t="shared" si="94"/>
        <v>34317.668333333335</v>
      </c>
      <c r="Q124" s="2">
        <f t="shared" si="94"/>
        <v>34317.668333333335</v>
      </c>
      <c r="R124" s="2">
        <f t="shared" ref="R124:R137" si="95">ROUND(SUM(F124:Q124),5)</f>
        <v>411812.02</v>
      </c>
      <c r="S124" s="100">
        <f>R124/$R$137</f>
        <v>0.48732518190841873</v>
      </c>
    </row>
    <row r="125" spans="1:19" outlineLevel="4" x14ac:dyDescent="0.25">
      <c r="A125" s="1"/>
      <c r="B125" s="1"/>
      <c r="C125" s="1"/>
      <c r="D125" s="1"/>
      <c r="E125" s="1" t="s">
        <v>95</v>
      </c>
      <c r="F125" s="2">
        <f>+F124*0.062</f>
        <v>2127.6954366666669</v>
      </c>
      <c r="G125" s="2">
        <f t="shared" ref="G125:Q125" si="96">+G124*0.062</f>
        <v>2127.6954366666669</v>
      </c>
      <c r="H125" s="2">
        <f t="shared" si="96"/>
        <v>2127.6954366666669</v>
      </c>
      <c r="I125" s="2">
        <f t="shared" si="96"/>
        <v>2127.6954366666669</v>
      </c>
      <c r="J125" s="2">
        <f t="shared" si="96"/>
        <v>2127.6954366666669</v>
      </c>
      <c r="K125" s="2">
        <f t="shared" si="96"/>
        <v>2127.6954366666669</v>
      </c>
      <c r="L125" s="2">
        <f t="shared" si="96"/>
        <v>2127.6954366666669</v>
      </c>
      <c r="M125" s="2">
        <f t="shared" si="96"/>
        <v>2127.6954366666669</v>
      </c>
      <c r="N125" s="2">
        <f t="shared" si="96"/>
        <v>2127.6954366666669</v>
      </c>
      <c r="O125" s="2">
        <f t="shared" si="96"/>
        <v>2127.6954366666669</v>
      </c>
      <c r="P125" s="2">
        <f t="shared" si="96"/>
        <v>2127.6954366666669</v>
      </c>
      <c r="Q125" s="2">
        <f t="shared" si="96"/>
        <v>2127.6954366666669</v>
      </c>
      <c r="R125" s="2">
        <f t="shared" si="95"/>
        <v>25532.345239999999</v>
      </c>
      <c r="S125" s="100">
        <f t="shared" ref="S125:S136" si="97">R125/$R$137</f>
        <v>3.0214161278321959E-2</v>
      </c>
    </row>
    <row r="126" spans="1:19" outlineLevel="4" x14ac:dyDescent="0.25">
      <c r="A126" s="1"/>
      <c r="B126" s="1"/>
      <c r="C126" s="1"/>
      <c r="D126" s="1"/>
      <c r="E126" s="1" t="s">
        <v>96</v>
      </c>
      <c r="F126" s="2">
        <f>378*2/12</f>
        <v>63</v>
      </c>
      <c r="G126" s="2">
        <f t="shared" ref="G126:Q126" si="98">378*2/12</f>
        <v>63</v>
      </c>
      <c r="H126" s="2">
        <f t="shared" si="98"/>
        <v>63</v>
      </c>
      <c r="I126" s="2">
        <f t="shared" si="98"/>
        <v>63</v>
      </c>
      <c r="J126" s="2">
        <f t="shared" si="98"/>
        <v>63</v>
      </c>
      <c r="K126" s="2">
        <f t="shared" si="98"/>
        <v>63</v>
      </c>
      <c r="L126" s="2">
        <f t="shared" si="98"/>
        <v>63</v>
      </c>
      <c r="M126" s="2">
        <f t="shared" si="98"/>
        <v>63</v>
      </c>
      <c r="N126" s="2">
        <f t="shared" si="98"/>
        <v>63</v>
      </c>
      <c r="O126" s="2">
        <f t="shared" si="98"/>
        <v>63</v>
      </c>
      <c r="P126" s="2">
        <f t="shared" si="98"/>
        <v>63</v>
      </c>
      <c r="Q126" s="2">
        <f t="shared" si="98"/>
        <v>63</v>
      </c>
      <c r="R126" s="2">
        <f t="shared" si="95"/>
        <v>756</v>
      </c>
      <c r="S126" s="100">
        <f t="shared" si="97"/>
        <v>8.9462623631715392E-4</v>
      </c>
    </row>
    <row r="127" spans="1:19" outlineLevel="4" x14ac:dyDescent="0.25">
      <c r="A127" s="1"/>
      <c r="B127" s="1"/>
      <c r="C127" s="1"/>
      <c r="D127" s="1"/>
      <c r="E127" s="1" t="s">
        <v>97</v>
      </c>
      <c r="F127" s="2">
        <f>+F124*0.0145</f>
        <v>497.60619083333336</v>
      </c>
      <c r="G127" s="2">
        <f t="shared" ref="G127:Q127" si="99">+G124*0.0145</f>
        <v>497.60619083333336</v>
      </c>
      <c r="H127" s="2">
        <f t="shared" si="99"/>
        <v>497.60619083333336</v>
      </c>
      <c r="I127" s="2">
        <f t="shared" si="99"/>
        <v>497.60619083333336</v>
      </c>
      <c r="J127" s="2">
        <f t="shared" si="99"/>
        <v>497.60619083333336</v>
      </c>
      <c r="K127" s="2">
        <f t="shared" si="99"/>
        <v>497.60619083333336</v>
      </c>
      <c r="L127" s="2">
        <f t="shared" si="99"/>
        <v>497.60619083333336</v>
      </c>
      <c r="M127" s="2">
        <f t="shared" si="99"/>
        <v>497.60619083333336</v>
      </c>
      <c r="N127" s="2">
        <f t="shared" si="99"/>
        <v>497.60619083333336</v>
      </c>
      <c r="O127" s="2">
        <f t="shared" si="99"/>
        <v>497.60619083333336</v>
      </c>
      <c r="P127" s="2">
        <f t="shared" si="99"/>
        <v>497.60619083333336</v>
      </c>
      <c r="Q127" s="2">
        <f t="shared" si="99"/>
        <v>497.60619083333336</v>
      </c>
      <c r="R127" s="2">
        <f t="shared" si="95"/>
        <v>5971.2742900000003</v>
      </c>
      <c r="S127" s="100">
        <f t="shared" si="97"/>
        <v>7.0662151376720715E-3</v>
      </c>
    </row>
    <row r="128" spans="1:19" outlineLevel="4" x14ac:dyDescent="0.25">
      <c r="A128" s="1"/>
      <c r="B128" s="1"/>
      <c r="C128" s="1"/>
      <c r="D128" s="1"/>
      <c r="E128" s="1" t="s">
        <v>98</v>
      </c>
      <c r="F128" s="2">
        <v>0</v>
      </c>
      <c r="G128" s="2">
        <v>1000</v>
      </c>
      <c r="H128" s="2">
        <v>0</v>
      </c>
      <c r="I128" s="2">
        <v>0</v>
      </c>
      <c r="J128" s="2">
        <v>1000</v>
      </c>
      <c r="K128" s="2">
        <v>0</v>
      </c>
      <c r="L128" s="2">
        <v>1500</v>
      </c>
      <c r="M128" s="2">
        <v>0</v>
      </c>
      <c r="N128" s="2">
        <v>0</v>
      </c>
      <c r="O128" s="2">
        <v>1000</v>
      </c>
      <c r="P128" s="2">
        <v>0</v>
      </c>
      <c r="Q128" s="2">
        <v>0</v>
      </c>
      <c r="R128" s="2">
        <f t="shared" si="95"/>
        <v>4500</v>
      </c>
      <c r="S128" s="100">
        <f t="shared" si="97"/>
        <v>5.3251561685544882E-3</v>
      </c>
    </row>
    <row r="129" spans="1:19" outlineLevel="4" x14ac:dyDescent="0.25">
      <c r="A129" s="1"/>
      <c r="B129" s="1"/>
      <c r="C129" s="1"/>
      <c r="D129" s="1"/>
      <c r="E129" s="1" t="s">
        <v>99</v>
      </c>
      <c r="F129" s="2">
        <f>150000/12</f>
        <v>12500</v>
      </c>
      <c r="G129" s="2">
        <f>+F129</f>
        <v>12500</v>
      </c>
      <c r="H129" s="2">
        <f t="shared" ref="H129:Q129" si="100">+G129</f>
        <v>12500</v>
      </c>
      <c r="I129" s="2">
        <f t="shared" si="100"/>
        <v>12500</v>
      </c>
      <c r="J129" s="2">
        <f t="shared" si="100"/>
        <v>12500</v>
      </c>
      <c r="K129" s="2">
        <f t="shared" si="100"/>
        <v>12500</v>
      </c>
      <c r="L129" s="2">
        <f t="shared" si="100"/>
        <v>12500</v>
      </c>
      <c r="M129" s="2">
        <f t="shared" si="100"/>
        <v>12500</v>
      </c>
      <c r="N129" s="2">
        <f t="shared" si="100"/>
        <v>12500</v>
      </c>
      <c r="O129" s="2">
        <f t="shared" si="100"/>
        <v>12500</v>
      </c>
      <c r="P129" s="2">
        <f t="shared" si="100"/>
        <v>12500</v>
      </c>
      <c r="Q129" s="2">
        <f t="shared" si="100"/>
        <v>12500</v>
      </c>
      <c r="R129" s="2">
        <f t="shared" si="95"/>
        <v>150000</v>
      </c>
      <c r="S129" s="100">
        <f t="shared" si="97"/>
        <v>0.17750520561848293</v>
      </c>
    </row>
    <row r="130" spans="1:19" outlineLevel="4" x14ac:dyDescent="0.25">
      <c r="A130" s="1"/>
      <c r="B130" s="1"/>
      <c r="C130" s="1"/>
      <c r="D130" s="1"/>
      <c r="E130" s="1" t="s">
        <v>100</v>
      </c>
      <c r="F130" s="2">
        <v>1000</v>
      </c>
      <c r="G130" s="2">
        <f t="shared" ref="G130:Q130" si="101">+F130</f>
        <v>1000</v>
      </c>
      <c r="H130" s="2">
        <f t="shared" si="101"/>
        <v>1000</v>
      </c>
      <c r="I130" s="2">
        <f t="shared" si="101"/>
        <v>1000</v>
      </c>
      <c r="J130" s="2">
        <f t="shared" si="101"/>
        <v>1000</v>
      </c>
      <c r="K130" s="2">
        <f t="shared" si="101"/>
        <v>1000</v>
      </c>
      <c r="L130" s="2">
        <f t="shared" si="101"/>
        <v>1000</v>
      </c>
      <c r="M130" s="2">
        <f t="shared" si="101"/>
        <v>1000</v>
      </c>
      <c r="N130" s="2">
        <f t="shared" si="101"/>
        <v>1000</v>
      </c>
      <c r="O130" s="2">
        <f t="shared" si="101"/>
        <v>1000</v>
      </c>
      <c r="P130" s="2">
        <f t="shared" si="101"/>
        <v>1000</v>
      </c>
      <c r="Q130" s="2">
        <f t="shared" si="101"/>
        <v>1000</v>
      </c>
      <c r="R130" s="2">
        <f t="shared" si="95"/>
        <v>12000</v>
      </c>
      <c r="S130" s="100">
        <f t="shared" si="97"/>
        <v>1.4200416449478635E-2</v>
      </c>
    </row>
    <row r="131" spans="1:19" outlineLevel="4" x14ac:dyDescent="0.25">
      <c r="A131" s="1"/>
      <c r="B131" s="1"/>
      <c r="C131" s="1"/>
      <c r="D131" s="1"/>
      <c r="E131" s="1" t="s">
        <v>101</v>
      </c>
      <c r="F131" s="2">
        <v>1300</v>
      </c>
      <c r="G131" s="2">
        <f t="shared" ref="G131" si="102">+F131</f>
        <v>1300</v>
      </c>
      <c r="H131" s="2">
        <f t="shared" ref="H131" si="103">+G131</f>
        <v>1300</v>
      </c>
      <c r="I131" s="2">
        <f t="shared" ref="I131" si="104">+H131</f>
        <v>1300</v>
      </c>
      <c r="J131" s="2">
        <f t="shared" ref="J131" si="105">+I131</f>
        <v>1300</v>
      </c>
      <c r="K131" s="2">
        <f t="shared" ref="K131" si="106">+J131</f>
        <v>1300</v>
      </c>
      <c r="L131" s="2">
        <f t="shared" ref="L131" si="107">+K131</f>
        <v>1300</v>
      </c>
      <c r="M131" s="2">
        <f t="shared" ref="M131" si="108">+L131</f>
        <v>1300</v>
      </c>
      <c r="N131" s="2">
        <f t="shared" ref="N131" si="109">+M131</f>
        <v>1300</v>
      </c>
      <c r="O131" s="2">
        <f t="shared" ref="O131" si="110">+N131</f>
        <v>1300</v>
      </c>
      <c r="P131" s="2">
        <f t="shared" ref="P131" si="111">+O131</f>
        <v>1300</v>
      </c>
      <c r="Q131" s="2">
        <f t="shared" ref="Q131" si="112">+P131</f>
        <v>1300</v>
      </c>
      <c r="R131" s="2">
        <f t="shared" si="95"/>
        <v>15600</v>
      </c>
      <c r="S131" s="100">
        <f t="shared" si="97"/>
        <v>1.8460541384322224E-2</v>
      </c>
    </row>
    <row r="132" spans="1:19" outlineLevel="4" x14ac:dyDescent="0.25">
      <c r="A132" s="1"/>
      <c r="B132" s="1"/>
      <c r="C132" s="1"/>
      <c r="D132" s="1"/>
      <c r="E132" s="1" t="s">
        <v>102</v>
      </c>
      <c r="F132" s="2">
        <v>2000</v>
      </c>
      <c r="G132" s="2">
        <f t="shared" ref="G132:Q132" si="113">+F132</f>
        <v>2000</v>
      </c>
      <c r="H132" s="2">
        <f t="shared" si="113"/>
        <v>2000</v>
      </c>
      <c r="I132" s="2">
        <f t="shared" si="113"/>
        <v>2000</v>
      </c>
      <c r="J132" s="2">
        <f t="shared" si="113"/>
        <v>2000</v>
      </c>
      <c r="K132" s="2">
        <f t="shared" si="113"/>
        <v>2000</v>
      </c>
      <c r="L132" s="2">
        <f t="shared" si="113"/>
        <v>2000</v>
      </c>
      <c r="M132" s="2">
        <f t="shared" si="113"/>
        <v>2000</v>
      </c>
      <c r="N132" s="2">
        <f t="shared" si="113"/>
        <v>2000</v>
      </c>
      <c r="O132" s="2">
        <f t="shared" si="113"/>
        <v>2000</v>
      </c>
      <c r="P132" s="2">
        <f t="shared" si="113"/>
        <v>2000</v>
      </c>
      <c r="Q132" s="2">
        <f t="shared" si="113"/>
        <v>2000</v>
      </c>
      <c r="R132" s="2">
        <f t="shared" si="95"/>
        <v>24000</v>
      </c>
      <c r="S132" s="100">
        <f t="shared" si="97"/>
        <v>2.8400832898957271E-2</v>
      </c>
    </row>
    <row r="133" spans="1:19" outlineLevel="4" x14ac:dyDescent="0.25">
      <c r="A133" s="1"/>
      <c r="B133" s="1"/>
      <c r="C133" s="1"/>
      <c r="D133" s="1"/>
      <c r="E133" s="1" t="s">
        <v>103</v>
      </c>
      <c r="F133" s="2">
        <v>0</v>
      </c>
      <c r="G133" s="2">
        <f>112974/10</f>
        <v>11297.4</v>
      </c>
      <c r="H133" s="2">
        <f t="shared" ref="H133" si="114">+G133</f>
        <v>11297.4</v>
      </c>
      <c r="I133" s="2">
        <f t="shared" ref="I133" si="115">+H133</f>
        <v>11297.4</v>
      </c>
      <c r="J133" s="2">
        <f t="shared" ref="J133" si="116">+I133</f>
        <v>11297.4</v>
      </c>
      <c r="K133" s="2">
        <f t="shared" ref="K133" si="117">+J133</f>
        <v>11297.4</v>
      </c>
      <c r="L133" s="2">
        <f t="shared" ref="L133" si="118">+K133</f>
        <v>11297.4</v>
      </c>
      <c r="M133" s="2">
        <f t="shared" ref="M133" si="119">+L133</f>
        <v>11297.4</v>
      </c>
      <c r="N133" s="2">
        <f t="shared" ref="N133" si="120">+M133</f>
        <v>11297.4</v>
      </c>
      <c r="O133" s="2">
        <f t="shared" ref="O133" si="121">+N133</f>
        <v>11297.4</v>
      </c>
      <c r="P133" s="2">
        <f t="shared" ref="P133" si="122">+O133</f>
        <v>11297.4</v>
      </c>
      <c r="Q133" s="2">
        <v>0</v>
      </c>
      <c r="R133" s="2">
        <f t="shared" si="95"/>
        <v>112974</v>
      </c>
      <c r="S133" s="100">
        <f t="shared" si="97"/>
        <v>0.13368982066361659</v>
      </c>
    </row>
    <row r="134" spans="1:19" outlineLevel="4" x14ac:dyDescent="0.25">
      <c r="A134" s="1"/>
      <c r="B134" s="1"/>
      <c r="C134" s="1"/>
      <c r="D134" s="1"/>
      <c r="E134" s="1" t="s">
        <v>104</v>
      </c>
      <c r="F134" s="2">
        <v>5000</v>
      </c>
      <c r="G134" s="2">
        <f t="shared" ref="G134:Q134" si="123">+F134</f>
        <v>5000</v>
      </c>
      <c r="H134" s="2">
        <f t="shared" si="123"/>
        <v>5000</v>
      </c>
      <c r="I134" s="2">
        <f t="shared" si="123"/>
        <v>5000</v>
      </c>
      <c r="J134" s="2">
        <f t="shared" si="123"/>
        <v>5000</v>
      </c>
      <c r="K134" s="2">
        <f t="shared" si="123"/>
        <v>5000</v>
      </c>
      <c r="L134" s="2">
        <f t="shared" si="123"/>
        <v>5000</v>
      </c>
      <c r="M134" s="2">
        <f t="shared" si="123"/>
        <v>5000</v>
      </c>
      <c r="N134" s="2">
        <f t="shared" si="123"/>
        <v>5000</v>
      </c>
      <c r="O134" s="2">
        <f t="shared" si="123"/>
        <v>5000</v>
      </c>
      <c r="P134" s="2">
        <f t="shared" si="123"/>
        <v>5000</v>
      </c>
      <c r="Q134" s="2">
        <f t="shared" si="123"/>
        <v>5000</v>
      </c>
      <c r="R134" s="2">
        <f t="shared" si="95"/>
        <v>60000</v>
      </c>
      <c r="S134" s="100">
        <f t="shared" si="97"/>
        <v>7.100208224739317E-2</v>
      </c>
    </row>
    <row r="135" spans="1:19" outlineLevel="4" x14ac:dyDescent="0.25">
      <c r="A135" s="1"/>
      <c r="B135" s="1"/>
      <c r="C135" s="1"/>
      <c r="D135" s="1"/>
      <c r="E135" s="1" t="s">
        <v>105</v>
      </c>
      <c r="F135" s="2">
        <v>0</v>
      </c>
      <c r="G135" s="2">
        <v>1800</v>
      </c>
      <c r="H135" s="2">
        <f>G135</f>
        <v>1800</v>
      </c>
      <c r="I135" s="2">
        <f t="shared" ref="I135:P135" si="124">+H135</f>
        <v>1800</v>
      </c>
      <c r="J135" s="2">
        <f t="shared" si="124"/>
        <v>1800</v>
      </c>
      <c r="K135" s="2">
        <f t="shared" si="124"/>
        <v>1800</v>
      </c>
      <c r="L135" s="2">
        <f t="shared" si="124"/>
        <v>1800</v>
      </c>
      <c r="M135" s="2">
        <f t="shared" si="124"/>
        <v>1800</v>
      </c>
      <c r="N135" s="2">
        <f t="shared" si="124"/>
        <v>1800</v>
      </c>
      <c r="O135" s="2">
        <f t="shared" si="124"/>
        <v>1800</v>
      </c>
      <c r="P135" s="2">
        <f t="shared" si="124"/>
        <v>1800</v>
      </c>
      <c r="Q135" s="2">
        <v>0</v>
      </c>
      <c r="R135" s="2">
        <f t="shared" si="95"/>
        <v>18000</v>
      </c>
      <c r="S135" s="100">
        <f t="shared" si="97"/>
        <v>2.1300624674217953E-2</v>
      </c>
    </row>
    <row r="136" spans="1:19" ht="15.75" outlineLevel="4" thickBot="1" x14ac:dyDescent="0.3">
      <c r="A136" s="1"/>
      <c r="B136" s="1"/>
      <c r="C136" s="1"/>
      <c r="D136" s="1"/>
      <c r="E136" s="1" t="s">
        <v>106</v>
      </c>
      <c r="F136" s="3">
        <v>325</v>
      </c>
      <c r="G136" s="3">
        <f>+F136</f>
        <v>325</v>
      </c>
      <c r="H136" s="3">
        <f>+G136</f>
        <v>325</v>
      </c>
      <c r="I136" s="3">
        <f t="shared" ref="I136:Q136" si="125">+H136</f>
        <v>325</v>
      </c>
      <c r="J136" s="3">
        <f t="shared" si="125"/>
        <v>325</v>
      </c>
      <c r="K136" s="3">
        <f t="shared" si="125"/>
        <v>325</v>
      </c>
      <c r="L136" s="3">
        <f t="shared" si="125"/>
        <v>325</v>
      </c>
      <c r="M136" s="3">
        <f t="shared" si="125"/>
        <v>325</v>
      </c>
      <c r="N136" s="3">
        <f t="shared" si="125"/>
        <v>325</v>
      </c>
      <c r="O136" s="3">
        <f t="shared" si="125"/>
        <v>325</v>
      </c>
      <c r="P136" s="3">
        <f t="shared" si="125"/>
        <v>325</v>
      </c>
      <c r="Q136" s="3">
        <f t="shared" si="125"/>
        <v>325</v>
      </c>
      <c r="R136" s="3">
        <f t="shared" si="95"/>
        <v>3900</v>
      </c>
      <c r="S136" s="100">
        <f t="shared" si="97"/>
        <v>4.615135346080556E-3</v>
      </c>
    </row>
    <row r="137" spans="1:19" outlineLevel="3" x14ac:dyDescent="0.25">
      <c r="A137" s="1"/>
      <c r="B137" s="1"/>
      <c r="C137" s="1"/>
      <c r="D137" s="1" t="s">
        <v>107</v>
      </c>
      <c r="E137" s="1"/>
      <c r="F137" s="2">
        <f t="shared" ref="F137:Q137" si="126">ROUND(SUM(F123:F136),5)</f>
        <v>59130.969960000002</v>
      </c>
      <c r="G137" s="2">
        <f t="shared" si="126"/>
        <v>73228.369959999996</v>
      </c>
      <c r="H137" s="2">
        <f t="shared" si="126"/>
        <v>72228.369959999996</v>
      </c>
      <c r="I137" s="2">
        <f t="shared" si="126"/>
        <v>72228.369959999996</v>
      </c>
      <c r="J137" s="2">
        <f t="shared" si="126"/>
        <v>73228.369959999996</v>
      </c>
      <c r="K137" s="2">
        <f t="shared" si="126"/>
        <v>72228.369959999996</v>
      </c>
      <c r="L137" s="2">
        <f t="shared" si="126"/>
        <v>73728.369959999996</v>
      </c>
      <c r="M137" s="2">
        <f t="shared" si="126"/>
        <v>72228.369959999996</v>
      </c>
      <c r="N137" s="2">
        <f t="shared" si="126"/>
        <v>72228.369959999996</v>
      </c>
      <c r="O137" s="2">
        <f t="shared" si="126"/>
        <v>73228.369959999996</v>
      </c>
      <c r="P137" s="2">
        <f t="shared" si="126"/>
        <v>72228.369959999996</v>
      </c>
      <c r="Q137" s="2">
        <f t="shared" si="126"/>
        <v>59130.969960000002</v>
      </c>
      <c r="R137" s="2">
        <f t="shared" si="95"/>
        <v>845045.63951999997</v>
      </c>
      <c r="S137" s="102">
        <f>SUM(S124:S136)</f>
        <v>1.0000000000118336</v>
      </c>
    </row>
    <row r="138" spans="1:19" outlineLevel="4" x14ac:dyDescent="0.25">
      <c r="A138" s="1"/>
      <c r="B138" s="1"/>
      <c r="C138" s="1"/>
      <c r="D138" s="1" t="s">
        <v>108</v>
      </c>
      <c r="E138" s="1"/>
      <c r="F138" s="2"/>
      <c r="G138" s="2"/>
      <c r="H138" s="2"/>
      <c r="I138" s="2"/>
      <c r="J138" s="2"/>
      <c r="K138" s="2"/>
      <c r="L138" s="2"/>
      <c r="M138" s="2"/>
      <c r="N138" s="2"/>
      <c r="O138" s="2"/>
      <c r="P138" s="2"/>
      <c r="Q138" s="2"/>
      <c r="R138" s="2"/>
      <c r="S138" s="100"/>
    </row>
    <row r="139" spans="1:19" outlineLevel="4" x14ac:dyDescent="0.25">
      <c r="A139" s="1"/>
      <c r="B139" s="1"/>
      <c r="C139" s="1"/>
      <c r="D139" s="1"/>
      <c r="E139" s="1" t="s">
        <v>109</v>
      </c>
      <c r="F139" s="2">
        <v>4000</v>
      </c>
      <c r="G139" s="2">
        <f t="shared" ref="G139:Q139" si="127">+F139</f>
        <v>4000</v>
      </c>
      <c r="H139" s="2">
        <f t="shared" si="127"/>
        <v>4000</v>
      </c>
      <c r="I139" s="2">
        <f t="shared" si="127"/>
        <v>4000</v>
      </c>
      <c r="J139" s="2">
        <f t="shared" si="127"/>
        <v>4000</v>
      </c>
      <c r="K139" s="2">
        <f t="shared" si="127"/>
        <v>4000</v>
      </c>
      <c r="L139" s="2">
        <f t="shared" si="127"/>
        <v>4000</v>
      </c>
      <c r="M139" s="2">
        <f t="shared" si="127"/>
        <v>4000</v>
      </c>
      <c r="N139" s="2">
        <f t="shared" si="127"/>
        <v>4000</v>
      </c>
      <c r="O139" s="2">
        <f t="shared" si="127"/>
        <v>4000</v>
      </c>
      <c r="P139" s="2">
        <f t="shared" si="127"/>
        <v>4000</v>
      </c>
      <c r="Q139" s="2">
        <f t="shared" si="127"/>
        <v>4000</v>
      </c>
      <c r="R139" s="2">
        <f>ROUND(SUM(F139:Q139),5)</f>
        <v>48000</v>
      </c>
      <c r="S139" s="100">
        <f>R139/$R$141</f>
        <v>0.8</v>
      </c>
    </row>
    <row r="140" spans="1:19" ht="15.75" outlineLevel="4" thickBot="1" x14ac:dyDescent="0.3">
      <c r="A140" s="1"/>
      <c r="B140" s="1"/>
      <c r="C140" s="1"/>
      <c r="D140" s="1"/>
      <c r="E140" s="1" t="s">
        <v>110</v>
      </c>
      <c r="F140" s="3">
        <v>1000</v>
      </c>
      <c r="G140" s="3">
        <f t="shared" ref="G140:Q140" si="128">+F140</f>
        <v>1000</v>
      </c>
      <c r="H140" s="3">
        <f t="shared" si="128"/>
        <v>1000</v>
      </c>
      <c r="I140" s="3">
        <f t="shared" si="128"/>
        <v>1000</v>
      </c>
      <c r="J140" s="3">
        <f t="shared" si="128"/>
        <v>1000</v>
      </c>
      <c r="K140" s="3">
        <f t="shared" si="128"/>
        <v>1000</v>
      </c>
      <c r="L140" s="3">
        <f t="shared" si="128"/>
        <v>1000</v>
      </c>
      <c r="M140" s="3">
        <f t="shared" si="128"/>
        <v>1000</v>
      </c>
      <c r="N140" s="3">
        <f t="shared" si="128"/>
        <v>1000</v>
      </c>
      <c r="O140" s="3">
        <f t="shared" si="128"/>
        <v>1000</v>
      </c>
      <c r="P140" s="3">
        <f t="shared" si="128"/>
        <v>1000</v>
      </c>
      <c r="Q140" s="3">
        <f t="shared" si="128"/>
        <v>1000</v>
      </c>
      <c r="R140" s="3">
        <f>ROUND(SUM(F140:Q140),5)</f>
        <v>12000</v>
      </c>
      <c r="S140" s="100">
        <f>R140/$R$141</f>
        <v>0.2</v>
      </c>
    </row>
    <row r="141" spans="1:19" outlineLevel="3" x14ac:dyDescent="0.25">
      <c r="A141" s="1"/>
      <c r="B141" s="1"/>
      <c r="C141" s="1"/>
      <c r="D141" s="1" t="s">
        <v>111</v>
      </c>
      <c r="E141" s="1"/>
      <c r="F141" s="2">
        <f t="shared" ref="F141:Q141" si="129">ROUND(SUM(F138:F140),5)</f>
        <v>5000</v>
      </c>
      <c r="G141" s="2">
        <f t="shared" si="129"/>
        <v>5000</v>
      </c>
      <c r="H141" s="2">
        <f t="shared" si="129"/>
        <v>5000</v>
      </c>
      <c r="I141" s="2">
        <f t="shared" si="129"/>
        <v>5000</v>
      </c>
      <c r="J141" s="2">
        <f t="shared" si="129"/>
        <v>5000</v>
      </c>
      <c r="K141" s="2">
        <f t="shared" si="129"/>
        <v>5000</v>
      </c>
      <c r="L141" s="2">
        <f t="shared" si="129"/>
        <v>5000</v>
      </c>
      <c r="M141" s="2">
        <f t="shared" si="129"/>
        <v>5000</v>
      </c>
      <c r="N141" s="2">
        <f t="shared" si="129"/>
        <v>5000</v>
      </c>
      <c r="O141" s="2">
        <f t="shared" si="129"/>
        <v>5000</v>
      </c>
      <c r="P141" s="2">
        <f t="shared" si="129"/>
        <v>5000</v>
      </c>
      <c r="Q141" s="2">
        <f t="shared" si="129"/>
        <v>5000</v>
      </c>
      <c r="R141" s="2">
        <f>ROUND(SUM(F141:Q141),5)</f>
        <v>60000</v>
      </c>
      <c r="S141" s="102">
        <f>+S139+S140</f>
        <v>1</v>
      </c>
    </row>
    <row r="142" spans="1:19" outlineLevel="4" x14ac:dyDescent="0.25">
      <c r="A142" s="1"/>
      <c r="B142" s="1"/>
      <c r="C142" s="1"/>
      <c r="D142" s="1" t="s">
        <v>112</v>
      </c>
      <c r="E142" s="1"/>
      <c r="F142" s="2"/>
      <c r="G142" s="2"/>
      <c r="H142" s="2"/>
      <c r="I142" s="2"/>
      <c r="J142" s="2"/>
      <c r="K142" s="2"/>
      <c r="L142" s="2"/>
      <c r="M142" s="2"/>
      <c r="N142" s="2"/>
      <c r="O142" s="2"/>
      <c r="P142" s="2"/>
      <c r="Q142" s="2"/>
      <c r="R142" s="2"/>
      <c r="S142" s="100"/>
    </row>
    <row r="143" spans="1:19" ht="15.75" outlineLevel="4" thickBot="1" x14ac:dyDescent="0.3">
      <c r="A143" s="1"/>
      <c r="B143" s="1"/>
      <c r="C143" s="1"/>
      <c r="D143" s="1"/>
      <c r="E143" s="1" t="s">
        <v>113</v>
      </c>
      <c r="F143" s="3">
        <f>(53390/12)+1250</f>
        <v>5699.166666666667</v>
      </c>
      <c r="G143" s="3">
        <f t="shared" ref="G143:Q143" si="130">(53390/12)+1250</f>
        <v>5699.166666666667</v>
      </c>
      <c r="H143" s="3">
        <f t="shared" si="130"/>
        <v>5699.166666666667</v>
      </c>
      <c r="I143" s="3">
        <f t="shared" si="130"/>
        <v>5699.166666666667</v>
      </c>
      <c r="J143" s="3">
        <f t="shared" si="130"/>
        <v>5699.166666666667</v>
      </c>
      <c r="K143" s="3">
        <f t="shared" si="130"/>
        <v>5699.166666666667</v>
      </c>
      <c r="L143" s="3">
        <f t="shared" si="130"/>
        <v>5699.166666666667</v>
      </c>
      <c r="M143" s="3">
        <f t="shared" si="130"/>
        <v>5699.166666666667</v>
      </c>
      <c r="N143" s="3">
        <f t="shared" si="130"/>
        <v>5699.166666666667</v>
      </c>
      <c r="O143" s="3">
        <f t="shared" si="130"/>
        <v>5699.166666666667</v>
      </c>
      <c r="P143" s="3">
        <f t="shared" si="130"/>
        <v>5699.166666666667</v>
      </c>
      <c r="Q143" s="3">
        <f t="shared" si="130"/>
        <v>5699.166666666667</v>
      </c>
      <c r="R143" s="3">
        <f>ROUND(SUM(F143:Q143),5)</f>
        <v>68390</v>
      </c>
      <c r="S143" s="100">
        <f>R143/$R$144</f>
        <v>0.99999999941511919</v>
      </c>
    </row>
    <row r="144" spans="1:19" outlineLevel="3" x14ac:dyDescent="0.25">
      <c r="A144" s="1"/>
      <c r="B144" s="1"/>
      <c r="C144" s="1"/>
      <c r="D144" s="1" t="s">
        <v>114</v>
      </c>
      <c r="E144" s="1"/>
      <c r="F144" s="2">
        <f t="shared" ref="F144:Q144" si="131">ROUND(SUM(F142:F143),5)</f>
        <v>5699.1666699999996</v>
      </c>
      <c r="G144" s="2">
        <f t="shared" si="131"/>
        <v>5699.1666699999996</v>
      </c>
      <c r="H144" s="2">
        <f t="shared" si="131"/>
        <v>5699.1666699999996</v>
      </c>
      <c r="I144" s="2">
        <f t="shared" si="131"/>
        <v>5699.1666699999996</v>
      </c>
      <c r="J144" s="2">
        <f t="shared" si="131"/>
        <v>5699.1666699999996</v>
      </c>
      <c r="K144" s="2">
        <f t="shared" si="131"/>
        <v>5699.1666699999996</v>
      </c>
      <c r="L144" s="2">
        <f t="shared" si="131"/>
        <v>5699.1666699999996</v>
      </c>
      <c r="M144" s="2">
        <f t="shared" si="131"/>
        <v>5699.1666699999996</v>
      </c>
      <c r="N144" s="2">
        <f t="shared" si="131"/>
        <v>5699.1666699999996</v>
      </c>
      <c r="O144" s="2">
        <f t="shared" si="131"/>
        <v>5699.1666699999996</v>
      </c>
      <c r="P144" s="2">
        <f t="shared" si="131"/>
        <v>5699.1666699999996</v>
      </c>
      <c r="Q144" s="2">
        <f t="shared" si="131"/>
        <v>5699.1666699999996</v>
      </c>
      <c r="R144" s="2">
        <f>ROUND(SUM(F144:Q144),5)</f>
        <v>68390.000039999999</v>
      </c>
      <c r="S144" s="102">
        <f>+S143</f>
        <v>0.99999999941511919</v>
      </c>
    </row>
    <row r="145" spans="1:19" outlineLevel="4" x14ac:dyDescent="0.25">
      <c r="A145" s="1"/>
      <c r="B145" s="1"/>
      <c r="C145" s="1"/>
      <c r="D145" s="1" t="s">
        <v>115</v>
      </c>
      <c r="E145" s="1"/>
      <c r="F145" s="2"/>
      <c r="G145" s="2"/>
      <c r="H145" s="2"/>
      <c r="I145" s="2"/>
      <c r="J145" s="2"/>
      <c r="K145" s="2"/>
      <c r="L145" s="2"/>
      <c r="M145" s="2"/>
      <c r="N145" s="2"/>
      <c r="O145" s="2"/>
      <c r="P145" s="2"/>
      <c r="Q145" s="2"/>
      <c r="R145" s="2"/>
      <c r="S145" s="100"/>
    </row>
    <row r="146" spans="1:19" outlineLevel="4" x14ac:dyDescent="0.25">
      <c r="A146" s="1"/>
      <c r="B146" s="1"/>
      <c r="C146" s="1"/>
      <c r="D146" s="1"/>
      <c r="E146" s="1" t="s">
        <v>116</v>
      </c>
      <c r="F146" s="2">
        <v>0</v>
      </c>
      <c r="G146" s="2">
        <f>75000/10</f>
        <v>7500</v>
      </c>
      <c r="H146" s="2">
        <f t="shared" ref="H146:P146" si="132">+G146</f>
        <v>7500</v>
      </c>
      <c r="I146" s="2">
        <f t="shared" si="132"/>
        <v>7500</v>
      </c>
      <c r="J146" s="2">
        <f t="shared" si="132"/>
        <v>7500</v>
      </c>
      <c r="K146" s="2">
        <f t="shared" si="132"/>
        <v>7500</v>
      </c>
      <c r="L146" s="2">
        <f t="shared" si="132"/>
        <v>7500</v>
      </c>
      <c r="M146" s="2">
        <f t="shared" si="132"/>
        <v>7500</v>
      </c>
      <c r="N146" s="2">
        <f t="shared" si="132"/>
        <v>7500</v>
      </c>
      <c r="O146" s="2">
        <f t="shared" si="132"/>
        <v>7500</v>
      </c>
      <c r="P146" s="2">
        <f t="shared" si="132"/>
        <v>7500</v>
      </c>
      <c r="Q146" s="2">
        <v>0</v>
      </c>
      <c r="R146" s="2">
        <f>ROUND(SUM(F146:Q146),5)</f>
        <v>75000</v>
      </c>
      <c r="S146" s="100">
        <f>R146/$R$150</f>
        <v>0.92889609987490862</v>
      </c>
    </row>
    <row r="147" spans="1:19" outlineLevel="4" x14ac:dyDescent="0.25">
      <c r="A147" s="1"/>
      <c r="B147" s="1"/>
      <c r="C147" s="1"/>
      <c r="D147" s="1"/>
      <c r="E147" s="1" t="s">
        <v>117</v>
      </c>
      <c r="F147" s="2">
        <v>0</v>
      </c>
      <c r="G147" s="2">
        <f>+G146*0.062</f>
        <v>465</v>
      </c>
      <c r="H147" s="2">
        <f t="shared" ref="H147:P147" si="133">+H146*0.062</f>
        <v>465</v>
      </c>
      <c r="I147" s="2">
        <f t="shared" si="133"/>
        <v>465</v>
      </c>
      <c r="J147" s="2">
        <f t="shared" si="133"/>
        <v>465</v>
      </c>
      <c r="K147" s="2">
        <f t="shared" si="133"/>
        <v>465</v>
      </c>
      <c r="L147" s="2">
        <f t="shared" si="133"/>
        <v>465</v>
      </c>
      <c r="M147" s="2">
        <f t="shared" si="133"/>
        <v>465</v>
      </c>
      <c r="N147" s="2">
        <f t="shared" si="133"/>
        <v>465</v>
      </c>
      <c r="O147" s="2">
        <f t="shared" si="133"/>
        <v>465</v>
      </c>
      <c r="P147" s="2">
        <f t="shared" si="133"/>
        <v>465</v>
      </c>
      <c r="Q147" s="2">
        <v>0</v>
      </c>
      <c r="R147" s="2">
        <f>ROUND(SUM(F147:Q147),5)</f>
        <v>4650</v>
      </c>
      <c r="S147" s="100">
        <f t="shared" ref="S147:S149" si="134">R147/$R$150</f>
        <v>5.759155819224434E-2</v>
      </c>
    </row>
    <row r="148" spans="1:19" outlineLevel="4" x14ac:dyDescent="0.25">
      <c r="A148" s="1"/>
      <c r="B148" s="1"/>
      <c r="C148" s="1"/>
      <c r="D148" s="1"/>
      <c r="E148" s="1" t="s">
        <v>118</v>
      </c>
      <c r="F148" s="2">
        <v>0</v>
      </c>
      <c r="G148" s="2">
        <f>+G146*0.0145</f>
        <v>108.75</v>
      </c>
      <c r="H148" s="2">
        <f t="shared" ref="H148:P148" si="135">+H146*0.0145</f>
        <v>108.75</v>
      </c>
      <c r="I148" s="2">
        <f t="shared" si="135"/>
        <v>108.75</v>
      </c>
      <c r="J148" s="2">
        <f t="shared" si="135"/>
        <v>108.75</v>
      </c>
      <c r="K148" s="2">
        <f t="shared" si="135"/>
        <v>108.75</v>
      </c>
      <c r="L148" s="2">
        <f t="shared" si="135"/>
        <v>108.75</v>
      </c>
      <c r="M148" s="2">
        <f t="shared" si="135"/>
        <v>108.75</v>
      </c>
      <c r="N148" s="2">
        <f t="shared" si="135"/>
        <v>108.75</v>
      </c>
      <c r="O148" s="2">
        <f t="shared" si="135"/>
        <v>108.75</v>
      </c>
      <c r="P148" s="2">
        <f t="shared" si="135"/>
        <v>108.75</v>
      </c>
      <c r="Q148" s="2">
        <v>0</v>
      </c>
      <c r="R148" s="2">
        <f>ROUND(SUM(F148:Q148),5)</f>
        <v>1087.5</v>
      </c>
      <c r="S148" s="100">
        <f t="shared" si="134"/>
        <v>1.3468993448186176E-2</v>
      </c>
    </row>
    <row r="149" spans="1:19" ht="15.75" outlineLevel="4" thickBot="1" x14ac:dyDescent="0.3">
      <c r="A149" s="1"/>
      <c r="B149" s="1"/>
      <c r="C149" s="1"/>
      <c r="D149" s="1"/>
      <c r="E149" s="1" t="s">
        <v>119</v>
      </c>
      <c r="F149" s="3">
        <v>0</v>
      </c>
      <c r="G149" s="3">
        <v>0</v>
      </c>
      <c r="H149" s="3">
        <v>3.5</v>
      </c>
      <c r="I149" s="3">
        <v>0</v>
      </c>
      <c r="J149" s="3">
        <v>0</v>
      </c>
      <c r="K149" s="3">
        <v>0</v>
      </c>
      <c r="L149" s="3">
        <v>0</v>
      </c>
      <c r="M149" s="3">
        <v>0</v>
      </c>
      <c r="N149" s="3">
        <v>0</v>
      </c>
      <c r="O149" s="3">
        <v>0</v>
      </c>
      <c r="P149" s="3">
        <v>0</v>
      </c>
      <c r="Q149" s="3">
        <v>0</v>
      </c>
      <c r="R149" s="3">
        <f>ROUND(SUM(F149:Q149),5)</f>
        <v>3.5</v>
      </c>
      <c r="S149" s="100">
        <f t="shared" si="134"/>
        <v>4.3348484660829074E-5</v>
      </c>
    </row>
    <row r="150" spans="1:19" outlineLevel="3" x14ac:dyDescent="0.25">
      <c r="A150" s="1"/>
      <c r="B150" s="1"/>
      <c r="C150" s="1"/>
      <c r="D150" s="1" t="s">
        <v>120</v>
      </c>
      <c r="E150" s="1"/>
      <c r="F150" s="2">
        <f t="shared" ref="F150:Q150" si="136">ROUND(SUM(F145:F149),5)</f>
        <v>0</v>
      </c>
      <c r="G150" s="2">
        <f t="shared" si="136"/>
        <v>8073.75</v>
      </c>
      <c r="H150" s="2">
        <f t="shared" si="136"/>
        <v>8077.25</v>
      </c>
      <c r="I150" s="2">
        <f t="shared" si="136"/>
        <v>8073.75</v>
      </c>
      <c r="J150" s="2">
        <f t="shared" si="136"/>
        <v>8073.75</v>
      </c>
      <c r="K150" s="2">
        <f t="shared" si="136"/>
        <v>8073.75</v>
      </c>
      <c r="L150" s="2">
        <f t="shared" si="136"/>
        <v>8073.75</v>
      </c>
      <c r="M150" s="2">
        <f t="shared" si="136"/>
        <v>8073.75</v>
      </c>
      <c r="N150" s="2">
        <f t="shared" si="136"/>
        <v>8073.75</v>
      </c>
      <c r="O150" s="2">
        <f t="shared" si="136"/>
        <v>8073.75</v>
      </c>
      <c r="P150" s="2">
        <f t="shared" si="136"/>
        <v>8073.75</v>
      </c>
      <c r="Q150" s="2">
        <f t="shared" si="136"/>
        <v>0</v>
      </c>
      <c r="R150" s="2">
        <f>ROUND(SUM(F150:Q150),5)</f>
        <v>80741</v>
      </c>
      <c r="S150" s="102">
        <f>SUM(S146:S149)</f>
        <v>1</v>
      </c>
    </row>
    <row r="151" spans="1:19" outlineLevel="4" x14ac:dyDescent="0.25">
      <c r="A151" s="1"/>
      <c r="B151" s="1"/>
      <c r="C151" s="1"/>
      <c r="D151" s="1" t="s">
        <v>343</v>
      </c>
      <c r="E151" s="1"/>
      <c r="F151" s="2"/>
      <c r="G151" s="2"/>
      <c r="H151" s="2"/>
      <c r="I151" s="2"/>
      <c r="J151" s="2"/>
      <c r="K151" s="2"/>
      <c r="L151" s="2"/>
      <c r="M151" s="2"/>
      <c r="N151" s="2"/>
      <c r="O151" s="2"/>
      <c r="P151" s="2"/>
      <c r="Q151" s="2"/>
      <c r="R151" s="2"/>
      <c r="S151" s="100"/>
    </row>
    <row r="152" spans="1:19" outlineLevel="4" x14ac:dyDescent="0.25">
      <c r="A152" s="1"/>
      <c r="B152" s="1"/>
      <c r="C152" s="1"/>
      <c r="D152" s="1"/>
      <c r="E152" s="1" t="s">
        <v>455</v>
      </c>
      <c r="F152" s="2">
        <f>624000</f>
        <v>624000</v>
      </c>
      <c r="G152" s="2">
        <v>0</v>
      </c>
      <c r="H152" s="2">
        <v>0</v>
      </c>
      <c r="I152" s="2">
        <v>0</v>
      </c>
      <c r="J152" s="2">
        <v>0</v>
      </c>
      <c r="K152" s="2">
        <v>0</v>
      </c>
      <c r="L152" s="2">
        <f>624000+235000</f>
        <v>859000</v>
      </c>
      <c r="M152" s="2">
        <v>0</v>
      </c>
      <c r="N152" s="2">
        <v>0</v>
      </c>
      <c r="O152" s="2">
        <v>0</v>
      </c>
      <c r="P152" s="2">
        <v>0</v>
      </c>
      <c r="Q152" s="2">
        <v>0</v>
      </c>
      <c r="R152" s="2">
        <f>ROUND(SUM(F152:Q152),5)</f>
        <v>1483000</v>
      </c>
      <c r="S152" s="98">
        <f>R152/R154</f>
        <v>0.78757302179049549</v>
      </c>
    </row>
    <row r="153" spans="1:19" ht="15.75" outlineLevel="4" thickBot="1" x14ac:dyDescent="0.3">
      <c r="A153" s="1"/>
      <c r="B153" s="1"/>
      <c r="C153" s="1"/>
      <c r="D153" s="1"/>
      <c r="E153" s="1" t="s">
        <v>358</v>
      </c>
      <c r="F153" s="2">
        <f>400000/12</f>
        <v>33333.333333333336</v>
      </c>
      <c r="G153" s="2">
        <f t="shared" ref="G153:Q153" si="137">F153</f>
        <v>33333.333333333336</v>
      </c>
      <c r="H153" s="2">
        <f t="shared" si="137"/>
        <v>33333.333333333336</v>
      </c>
      <c r="I153" s="2">
        <f t="shared" si="137"/>
        <v>33333.333333333336</v>
      </c>
      <c r="J153" s="2">
        <f t="shared" si="137"/>
        <v>33333.333333333336</v>
      </c>
      <c r="K153" s="2">
        <f t="shared" si="137"/>
        <v>33333.333333333336</v>
      </c>
      <c r="L153" s="2">
        <f t="shared" si="137"/>
        <v>33333.333333333336</v>
      </c>
      <c r="M153" s="2">
        <f t="shared" si="137"/>
        <v>33333.333333333336</v>
      </c>
      <c r="N153" s="2">
        <f t="shared" si="137"/>
        <v>33333.333333333336</v>
      </c>
      <c r="O153" s="2">
        <f t="shared" si="137"/>
        <v>33333.333333333336</v>
      </c>
      <c r="P153" s="2">
        <f t="shared" si="137"/>
        <v>33333.333333333336</v>
      </c>
      <c r="Q153" s="2">
        <f t="shared" si="137"/>
        <v>33333.333333333336</v>
      </c>
      <c r="R153" s="2">
        <f>ROUND(SUM(F153:Q153),5)</f>
        <v>400000</v>
      </c>
      <c r="S153" s="100">
        <f>R153/R154</f>
        <v>0.21242697823074727</v>
      </c>
    </row>
    <row r="154" spans="1:19" ht="15.75" outlineLevel="3" thickBot="1" x14ac:dyDescent="0.3">
      <c r="A154" s="1"/>
      <c r="B154" s="1"/>
      <c r="C154" s="1"/>
      <c r="D154" s="1" t="s">
        <v>121</v>
      </c>
      <c r="E154" s="1"/>
      <c r="F154" s="4">
        <f t="shared" ref="F154:Q154" si="138">ROUND(SUM(F151:F153),5)</f>
        <v>657333.33333000005</v>
      </c>
      <c r="G154" s="4">
        <f t="shared" si="138"/>
        <v>33333.333330000001</v>
      </c>
      <c r="H154" s="4">
        <f t="shared" si="138"/>
        <v>33333.333330000001</v>
      </c>
      <c r="I154" s="4">
        <f t="shared" si="138"/>
        <v>33333.333330000001</v>
      </c>
      <c r="J154" s="4">
        <f t="shared" si="138"/>
        <v>33333.333330000001</v>
      </c>
      <c r="K154" s="4">
        <f t="shared" si="138"/>
        <v>33333.333330000001</v>
      </c>
      <c r="L154" s="4">
        <f t="shared" si="138"/>
        <v>892333.33333000005</v>
      </c>
      <c r="M154" s="4">
        <f t="shared" si="138"/>
        <v>33333.333330000001</v>
      </c>
      <c r="N154" s="4">
        <f t="shared" si="138"/>
        <v>33333.333330000001</v>
      </c>
      <c r="O154" s="4">
        <f t="shared" si="138"/>
        <v>33333.333330000001</v>
      </c>
      <c r="P154" s="4">
        <f t="shared" si="138"/>
        <v>33333.333330000001</v>
      </c>
      <c r="Q154" s="4">
        <f t="shared" si="138"/>
        <v>33333.333330000001</v>
      </c>
      <c r="R154" s="4">
        <f>ROUND(SUM(F154:Q154),5)</f>
        <v>1882999.9999599999</v>
      </c>
      <c r="S154" s="103">
        <f>+S152+S153</f>
        <v>1.0000000000212428</v>
      </c>
    </row>
    <row r="155" spans="1:19" outlineLevel="2" x14ac:dyDescent="0.25">
      <c r="A155" s="1"/>
      <c r="B155" s="1"/>
      <c r="C155" s="1" t="s">
        <v>122</v>
      </c>
      <c r="D155" s="1"/>
      <c r="E155" s="1"/>
      <c r="F155" s="2">
        <f t="shared" ref="F155:Q155" si="139">ROUND(F40+F57+F67+F74+F77+F81+F84+F103+F108+F111+F114+F122+F137+F141+F144+F150+F154,5)</f>
        <v>1154303.72071</v>
      </c>
      <c r="G155" s="2">
        <f t="shared" si="139"/>
        <v>651375.24571000005</v>
      </c>
      <c r="H155" s="2">
        <f t="shared" si="139"/>
        <v>593428.74571000005</v>
      </c>
      <c r="I155" s="2">
        <f t="shared" si="139"/>
        <v>563925.24571000005</v>
      </c>
      <c r="J155" s="2">
        <f t="shared" si="139"/>
        <v>571375.24571000005</v>
      </c>
      <c r="K155" s="2">
        <f t="shared" si="139"/>
        <v>570375.24571000005</v>
      </c>
      <c r="L155" s="2">
        <f t="shared" si="139"/>
        <v>1427125.2457099999</v>
      </c>
      <c r="M155" s="2">
        <f t="shared" si="139"/>
        <v>565625.24571000005</v>
      </c>
      <c r="N155" s="2">
        <f t="shared" si="139"/>
        <v>570875.24571000005</v>
      </c>
      <c r="O155" s="2">
        <f t="shared" si="139"/>
        <v>566875.24571000005</v>
      </c>
      <c r="P155" s="2">
        <f t="shared" si="139"/>
        <v>563675.24571000005</v>
      </c>
      <c r="Q155" s="2">
        <f t="shared" si="139"/>
        <v>527803.72071000002</v>
      </c>
      <c r="R155" s="2">
        <f>ROUND(SUM(F155:Q155),5)</f>
        <v>8326763.3985200003</v>
      </c>
      <c r="S155" s="100"/>
    </row>
    <row r="156" spans="1:19" ht="15.75" outlineLevel="2" thickBot="1" x14ac:dyDescent="0.3">
      <c r="A156" s="1"/>
      <c r="B156" s="1"/>
      <c r="C156" s="1" t="s">
        <v>123</v>
      </c>
      <c r="D156" s="1"/>
      <c r="E156" s="1"/>
      <c r="F156" s="2">
        <v>0</v>
      </c>
      <c r="G156" s="2">
        <v>0</v>
      </c>
      <c r="H156" s="2">
        <v>0</v>
      </c>
      <c r="I156" s="2">
        <v>0</v>
      </c>
      <c r="J156" s="2">
        <v>0</v>
      </c>
      <c r="K156" s="2">
        <v>0</v>
      </c>
      <c r="L156" s="2">
        <v>0</v>
      </c>
      <c r="M156" s="2">
        <v>0</v>
      </c>
      <c r="N156" s="2">
        <v>0</v>
      </c>
      <c r="O156" s="2">
        <v>0</v>
      </c>
      <c r="P156" s="2">
        <v>0</v>
      </c>
      <c r="Q156" s="2">
        <v>0</v>
      </c>
      <c r="R156" s="2">
        <f>ROUND(SUM(F156:Q156),5)</f>
        <v>0</v>
      </c>
      <c r="S156" s="100"/>
    </row>
    <row r="157" spans="1:19" hidden="1" outlineLevel="3" x14ac:dyDescent="0.25">
      <c r="A157" s="1"/>
      <c r="B157" s="1"/>
      <c r="C157" s="1" t="s">
        <v>124</v>
      </c>
      <c r="D157" s="1"/>
      <c r="E157" s="1"/>
      <c r="F157" s="2"/>
      <c r="G157" s="2"/>
      <c r="H157" s="2"/>
      <c r="I157" s="2"/>
      <c r="J157" s="2"/>
      <c r="K157" s="2"/>
      <c r="L157" s="2"/>
      <c r="M157" s="2"/>
      <c r="N157" s="2"/>
      <c r="O157" s="2"/>
      <c r="P157" s="2"/>
      <c r="Q157" s="2"/>
      <c r="R157" s="2"/>
      <c r="S157" s="100"/>
    </row>
    <row r="158" spans="1:19" hidden="1" outlineLevel="4" x14ac:dyDescent="0.25">
      <c r="A158" s="1"/>
      <c r="B158" s="1"/>
      <c r="C158" s="1"/>
      <c r="D158" s="1" t="s">
        <v>125</v>
      </c>
      <c r="E158" s="1"/>
      <c r="F158" s="2"/>
      <c r="G158" s="2"/>
      <c r="H158" s="2"/>
      <c r="I158" s="2"/>
      <c r="J158" s="2"/>
      <c r="K158" s="2"/>
      <c r="L158" s="2"/>
      <c r="M158" s="2"/>
      <c r="N158" s="2"/>
      <c r="O158" s="2"/>
      <c r="P158" s="2"/>
      <c r="Q158" s="2"/>
      <c r="R158" s="2"/>
      <c r="S158" s="100"/>
    </row>
    <row r="159" spans="1:19" hidden="1" outlineLevel="4" x14ac:dyDescent="0.25">
      <c r="A159" s="1"/>
      <c r="B159" s="1"/>
      <c r="C159" s="1"/>
      <c r="D159" s="1"/>
      <c r="E159" s="1" t="s">
        <v>126</v>
      </c>
      <c r="F159" s="2">
        <v>0</v>
      </c>
      <c r="G159" s="2">
        <v>5000</v>
      </c>
      <c r="H159" s="2">
        <v>5000</v>
      </c>
      <c r="I159" s="2">
        <v>2000</v>
      </c>
      <c r="J159" s="2">
        <v>1000</v>
      </c>
      <c r="K159" s="2">
        <f>+J159</f>
        <v>1000</v>
      </c>
      <c r="L159" s="2">
        <f>+K159</f>
        <v>1000</v>
      </c>
      <c r="M159" s="2">
        <v>2000</v>
      </c>
      <c r="N159" s="2">
        <v>1000</v>
      </c>
      <c r="O159" s="2">
        <f>+N159</f>
        <v>1000</v>
      </c>
      <c r="P159" s="2">
        <f>+O159</f>
        <v>1000</v>
      </c>
      <c r="Q159" s="2">
        <v>0</v>
      </c>
      <c r="R159" s="2">
        <f t="shared" ref="R159:R164" si="140">ROUND(SUM(F159:Q159),5)</f>
        <v>20000</v>
      </c>
      <c r="S159" s="100"/>
    </row>
    <row r="160" spans="1:19" hidden="1" outlineLevel="4" x14ac:dyDescent="0.25">
      <c r="A160" s="1"/>
      <c r="B160" s="1"/>
      <c r="C160" s="1"/>
      <c r="D160" s="1"/>
      <c r="E160" s="1" t="s">
        <v>127</v>
      </c>
      <c r="F160" s="2">
        <v>0</v>
      </c>
      <c r="G160" s="2">
        <v>50000</v>
      </c>
      <c r="H160" s="2">
        <v>50000</v>
      </c>
      <c r="I160" s="2">
        <v>0</v>
      </c>
      <c r="J160" s="2">
        <v>0</v>
      </c>
      <c r="K160" s="2">
        <v>0</v>
      </c>
      <c r="L160" s="2">
        <v>0</v>
      </c>
      <c r="M160" s="2">
        <v>0</v>
      </c>
      <c r="N160" s="2">
        <v>0</v>
      </c>
      <c r="O160" s="2">
        <v>0</v>
      </c>
      <c r="P160" s="2">
        <v>0</v>
      </c>
      <c r="Q160" s="2">
        <v>0</v>
      </c>
      <c r="R160" s="2">
        <f t="shared" si="140"/>
        <v>100000</v>
      </c>
      <c r="S160" s="100"/>
    </row>
    <row r="161" spans="1:19" hidden="1" outlineLevel="4" x14ac:dyDescent="0.25">
      <c r="A161" s="1"/>
      <c r="B161" s="1"/>
      <c r="C161" s="1"/>
      <c r="D161" s="1"/>
      <c r="E161" s="1" t="s">
        <v>128</v>
      </c>
      <c r="F161" s="2">
        <v>0</v>
      </c>
      <c r="G161" s="2">
        <v>0</v>
      </c>
      <c r="H161" s="2">
        <v>0</v>
      </c>
      <c r="I161" s="2">
        <v>0</v>
      </c>
      <c r="J161" s="2">
        <v>0</v>
      </c>
      <c r="K161" s="2">
        <v>0</v>
      </c>
      <c r="L161" s="2">
        <v>0</v>
      </c>
      <c r="M161" s="2">
        <v>0</v>
      </c>
      <c r="N161" s="2">
        <v>0</v>
      </c>
      <c r="O161" s="2">
        <v>0</v>
      </c>
      <c r="P161" s="2">
        <v>0</v>
      </c>
      <c r="Q161" s="2">
        <v>0</v>
      </c>
      <c r="R161" s="2">
        <f t="shared" si="140"/>
        <v>0</v>
      </c>
      <c r="S161" s="100"/>
    </row>
    <row r="162" spans="1:19" hidden="1" outlineLevel="4" x14ac:dyDescent="0.25">
      <c r="A162" s="1"/>
      <c r="B162" s="1"/>
      <c r="C162" s="1"/>
      <c r="D162" s="1"/>
      <c r="E162" s="1" t="s">
        <v>129</v>
      </c>
      <c r="F162" s="2">
        <v>0</v>
      </c>
      <c r="G162" s="2">
        <v>10000</v>
      </c>
      <c r="H162" s="2">
        <v>0</v>
      </c>
      <c r="I162" s="2">
        <v>0</v>
      </c>
      <c r="J162" s="2">
        <v>0</v>
      </c>
      <c r="K162" s="2">
        <v>0</v>
      </c>
      <c r="L162" s="2">
        <v>0</v>
      </c>
      <c r="M162" s="2">
        <v>0</v>
      </c>
      <c r="N162" s="2">
        <v>0</v>
      </c>
      <c r="O162" s="2">
        <v>0</v>
      </c>
      <c r="P162" s="2">
        <v>0</v>
      </c>
      <c r="Q162" s="2">
        <v>0</v>
      </c>
      <c r="R162" s="2">
        <f t="shared" si="140"/>
        <v>10000</v>
      </c>
      <c r="S162" s="100"/>
    </row>
    <row r="163" spans="1:19" ht="15.75" hidden="1" outlineLevel="4" thickBot="1" x14ac:dyDescent="0.3">
      <c r="A163" s="1"/>
      <c r="B163" s="1"/>
      <c r="C163" s="1"/>
      <c r="D163" s="1"/>
      <c r="E163" s="1" t="s">
        <v>130</v>
      </c>
      <c r="F163" s="3">
        <v>0</v>
      </c>
      <c r="G163" s="3">
        <v>0</v>
      </c>
      <c r="H163" s="3">
        <v>0</v>
      </c>
      <c r="I163" s="3">
        <v>0</v>
      </c>
      <c r="J163" s="3">
        <v>0</v>
      </c>
      <c r="K163" s="3">
        <v>0</v>
      </c>
      <c r="L163" s="3">
        <v>0</v>
      </c>
      <c r="M163" s="3">
        <v>0</v>
      </c>
      <c r="N163" s="3">
        <v>0</v>
      </c>
      <c r="O163" s="3">
        <v>0</v>
      </c>
      <c r="P163" s="3">
        <v>0</v>
      </c>
      <c r="Q163" s="3">
        <v>0</v>
      </c>
      <c r="R163" s="3">
        <f t="shared" si="140"/>
        <v>0</v>
      </c>
      <c r="S163" s="100"/>
    </row>
    <row r="164" spans="1:19" hidden="1" outlineLevel="3" x14ac:dyDescent="0.25">
      <c r="A164" s="1"/>
      <c r="B164" s="1"/>
      <c r="C164" s="1"/>
      <c r="D164" s="1" t="s">
        <v>131</v>
      </c>
      <c r="E164" s="1"/>
      <c r="F164" s="2">
        <f t="shared" ref="F164:Q164" si="141">ROUND(SUM(F158:F163),5)</f>
        <v>0</v>
      </c>
      <c r="G164" s="2">
        <f t="shared" si="141"/>
        <v>65000</v>
      </c>
      <c r="H164" s="2">
        <f t="shared" si="141"/>
        <v>55000</v>
      </c>
      <c r="I164" s="2">
        <f t="shared" si="141"/>
        <v>2000</v>
      </c>
      <c r="J164" s="2">
        <f t="shared" si="141"/>
        <v>1000</v>
      </c>
      <c r="K164" s="2">
        <f t="shared" si="141"/>
        <v>1000</v>
      </c>
      <c r="L164" s="2">
        <f t="shared" si="141"/>
        <v>1000</v>
      </c>
      <c r="M164" s="2">
        <f t="shared" si="141"/>
        <v>2000</v>
      </c>
      <c r="N164" s="2">
        <f t="shared" si="141"/>
        <v>1000</v>
      </c>
      <c r="O164" s="2">
        <f t="shared" si="141"/>
        <v>1000</v>
      </c>
      <c r="P164" s="2">
        <f t="shared" si="141"/>
        <v>1000</v>
      </c>
      <c r="Q164" s="2">
        <f t="shared" si="141"/>
        <v>0</v>
      </c>
      <c r="R164" s="2">
        <f t="shared" si="140"/>
        <v>130000</v>
      </c>
      <c r="S164" s="100">
        <f>R164/$R$188</f>
        <v>0.72222222222222221</v>
      </c>
    </row>
    <row r="165" spans="1:19" hidden="1" outlineLevel="4" x14ac:dyDescent="0.25">
      <c r="A165" s="1"/>
      <c r="B165" s="1"/>
      <c r="C165" s="1"/>
      <c r="D165" s="1" t="s">
        <v>132</v>
      </c>
      <c r="E165" s="1"/>
      <c r="F165" s="2"/>
      <c r="G165" s="2"/>
      <c r="H165" s="2"/>
      <c r="I165" s="2"/>
      <c r="J165" s="2"/>
      <c r="K165" s="2"/>
      <c r="L165" s="2"/>
      <c r="M165" s="2"/>
      <c r="N165" s="2"/>
      <c r="O165" s="2"/>
      <c r="P165" s="2"/>
      <c r="Q165" s="2"/>
      <c r="R165" s="2"/>
      <c r="S165" s="100"/>
    </row>
    <row r="166" spans="1:19" ht="15.75" hidden="1" outlineLevel="4" thickBot="1" x14ac:dyDescent="0.3">
      <c r="A166" s="1"/>
      <c r="B166" s="1"/>
      <c r="C166" s="1"/>
      <c r="D166" s="1"/>
      <c r="E166" s="1" t="s">
        <v>133</v>
      </c>
      <c r="F166" s="3">
        <v>0</v>
      </c>
      <c r="G166" s="3">
        <v>0</v>
      </c>
      <c r="H166" s="3">
        <v>0</v>
      </c>
      <c r="I166" s="3">
        <v>0</v>
      </c>
      <c r="J166" s="3">
        <v>0</v>
      </c>
      <c r="K166" s="3">
        <v>0</v>
      </c>
      <c r="L166" s="3">
        <v>0</v>
      </c>
      <c r="M166" s="3">
        <v>0</v>
      </c>
      <c r="N166" s="3">
        <v>0</v>
      </c>
      <c r="O166" s="3">
        <v>0</v>
      </c>
      <c r="P166" s="3">
        <v>0</v>
      </c>
      <c r="Q166" s="3">
        <v>0</v>
      </c>
      <c r="R166" s="3">
        <f>ROUND(SUM(F166:Q166),5)</f>
        <v>0</v>
      </c>
      <c r="S166" s="100"/>
    </row>
    <row r="167" spans="1:19" hidden="1" outlineLevel="3" collapsed="1" x14ac:dyDescent="0.25">
      <c r="A167" s="1"/>
      <c r="B167" s="1"/>
      <c r="C167" s="1"/>
      <c r="D167" s="1" t="s">
        <v>134</v>
      </c>
      <c r="E167" s="1"/>
      <c r="F167" s="2">
        <f t="shared" ref="F167:Q167" si="142">ROUND(SUM(F165:F166),5)</f>
        <v>0</v>
      </c>
      <c r="G167" s="2">
        <f t="shared" si="142"/>
        <v>0</v>
      </c>
      <c r="H167" s="2">
        <f t="shared" si="142"/>
        <v>0</v>
      </c>
      <c r="I167" s="2">
        <f t="shared" si="142"/>
        <v>0</v>
      </c>
      <c r="J167" s="2">
        <f t="shared" si="142"/>
        <v>0</v>
      </c>
      <c r="K167" s="2">
        <f t="shared" si="142"/>
        <v>0</v>
      </c>
      <c r="L167" s="2">
        <f t="shared" si="142"/>
        <v>0</v>
      </c>
      <c r="M167" s="2">
        <f t="shared" si="142"/>
        <v>0</v>
      </c>
      <c r="N167" s="2">
        <f t="shared" si="142"/>
        <v>0</v>
      </c>
      <c r="O167" s="2">
        <f t="shared" si="142"/>
        <v>0</v>
      </c>
      <c r="P167" s="2">
        <f t="shared" si="142"/>
        <v>0</v>
      </c>
      <c r="Q167" s="2">
        <f t="shared" si="142"/>
        <v>0</v>
      </c>
      <c r="R167" s="2">
        <f>ROUND(SUM(F167:Q167),5)</f>
        <v>0</v>
      </c>
      <c r="S167" s="100">
        <f t="shared" ref="S167:S187" si="143">R167/$R$188</f>
        <v>0</v>
      </c>
    </row>
    <row r="168" spans="1:19" hidden="1" outlineLevel="4" x14ac:dyDescent="0.25">
      <c r="A168" s="1"/>
      <c r="B168" s="1"/>
      <c r="C168" s="1"/>
      <c r="D168" s="1" t="s">
        <v>135</v>
      </c>
      <c r="E168" s="1"/>
      <c r="F168" s="2"/>
      <c r="G168" s="2"/>
      <c r="H168" s="2"/>
      <c r="I168" s="2"/>
      <c r="J168" s="2"/>
      <c r="K168" s="2"/>
      <c r="L168" s="2"/>
      <c r="M168" s="2"/>
      <c r="N168" s="2"/>
      <c r="O168" s="2"/>
      <c r="P168" s="2"/>
      <c r="Q168" s="2"/>
      <c r="R168" s="2"/>
      <c r="S168" s="100">
        <f t="shared" si="143"/>
        <v>0</v>
      </c>
    </row>
    <row r="169" spans="1:19" hidden="1" outlineLevel="4" x14ac:dyDescent="0.25">
      <c r="A169" s="1"/>
      <c r="B169" s="1"/>
      <c r="C169" s="1"/>
      <c r="D169" s="1"/>
      <c r="E169" s="1" t="s">
        <v>136</v>
      </c>
      <c r="F169" s="2">
        <v>0</v>
      </c>
      <c r="G169" s="2">
        <v>0</v>
      </c>
      <c r="H169" s="2">
        <v>0</v>
      </c>
      <c r="I169" s="2">
        <v>0</v>
      </c>
      <c r="J169" s="2">
        <v>0</v>
      </c>
      <c r="K169" s="2">
        <v>0</v>
      </c>
      <c r="L169" s="2">
        <v>0</v>
      </c>
      <c r="M169" s="2">
        <v>0</v>
      </c>
      <c r="N169" s="2">
        <v>0</v>
      </c>
      <c r="O169" s="2">
        <v>0</v>
      </c>
      <c r="P169" s="2">
        <v>0</v>
      </c>
      <c r="Q169" s="2">
        <v>0</v>
      </c>
      <c r="R169" s="2">
        <f>ROUND(SUM(F169:Q169),5)</f>
        <v>0</v>
      </c>
      <c r="S169" s="100">
        <f t="shared" si="143"/>
        <v>0</v>
      </c>
    </row>
    <row r="170" spans="1:19" ht="15.75" hidden="1" outlineLevel="4" thickBot="1" x14ac:dyDescent="0.3">
      <c r="A170" s="1"/>
      <c r="B170" s="1"/>
      <c r="C170" s="1"/>
      <c r="D170" s="1"/>
      <c r="E170" s="1" t="s">
        <v>137</v>
      </c>
      <c r="F170" s="3">
        <v>0</v>
      </c>
      <c r="G170" s="3">
        <v>0</v>
      </c>
      <c r="H170" s="3">
        <v>0</v>
      </c>
      <c r="I170" s="3">
        <v>0</v>
      </c>
      <c r="J170" s="3">
        <v>0</v>
      </c>
      <c r="K170" s="3">
        <v>0</v>
      </c>
      <c r="L170" s="3">
        <v>0</v>
      </c>
      <c r="M170" s="3">
        <v>0</v>
      </c>
      <c r="N170" s="3">
        <v>0</v>
      </c>
      <c r="O170" s="3">
        <v>0</v>
      </c>
      <c r="P170" s="3">
        <v>0</v>
      </c>
      <c r="Q170" s="3">
        <v>0</v>
      </c>
      <c r="R170" s="3">
        <f>ROUND(SUM(F170:Q170),5)</f>
        <v>0</v>
      </c>
      <c r="S170" s="100">
        <f t="shared" si="143"/>
        <v>0</v>
      </c>
    </row>
    <row r="171" spans="1:19" hidden="1" outlineLevel="3" collapsed="1" x14ac:dyDescent="0.25">
      <c r="A171" s="1"/>
      <c r="B171" s="1"/>
      <c r="C171" s="1"/>
      <c r="D171" s="1" t="s">
        <v>138</v>
      </c>
      <c r="E171" s="1"/>
      <c r="F171" s="2">
        <f t="shared" ref="F171:Q171" si="144">ROUND(SUM(F168:F170),5)</f>
        <v>0</v>
      </c>
      <c r="G171" s="2">
        <f t="shared" si="144"/>
        <v>0</v>
      </c>
      <c r="H171" s="2">
        <f t="shared" si="144"/>
        <v>0</v>
      </c>
      <c r="I171" s="2">
        <f t="shared" si="144"/>
        <v>0</v>
      </c>
      <c r="J171" s="2">
        <f t="shared" si="144"/>
        <v>0</v>
      </c>
      <c r="K171" s="2">
        <f t="shared" si="144"/>
        <v>0</v>
      </c>
      <c r="L171" s="2">
        <f t="shared" si="144"/>
        <v>0</v>
      </c>
      <c r="M171" s="2">
        <f t="shared" si="144"/>
        <v>0</v>
      </c>
      <c r="N171" s="2">
        <f t="shared" si="144"/>
        <v>0</v>
      </c>
      <c r="O171" s="2">
        <f t="shared" si="144"/>
        <v>0</v>
      </c>
      <c r="P171" s="2">
        <f t="shared" si="144"/>
        <v>0</v>
      </c>
      <c r="Q171" s="2">
        <f t="shared" si="144"/>
        <v>0</v>
      </c>
      <c r="R171" s="2">
        <f>ROUND(SUM(F171:Q171),5)</f>
        <v>0</v>
      </c>
      <c r="S171" s="100">
        <f t="shared" si="143"/>
        <v>0</v>
      </c>
    </row>
    <row r="172" spans="1:19" hidden="1" outlineLevel="4" x14ac:dyDescent="0.25">
      <c r="A172" s="1"/>
      <c r="B172" s="1"/>
      <c r="C172" s="1"/>
      <c r="D172" s="1" t="s">
        <v>139</v>
      </c>
      <c r="E172" s="1"/>
      <c r="F172" s="2"/>
      <c r="G172" s="2"/>
      <c r="H172" s="2"/>
      <c r="I172" s="2"/>
      <c r="J172" s="2"/>
      <c r="K172" s="2"/>
      <c r="L172" s="2"/>
      <c r="M172" s="2"/>
      <c r="N172" s="2"/>
      <c r="O172" s="2"/>
      <c r="P172" s="2"/>
      <c r="Q172" s="2"/>
      <c r="R172" s="2"/>
      <c r="S172" s="100">
        <f t="shared" si="143"/>
        <v>0</v>
      </c>
    </row>
    <row r="173" spans="1:19" ht="15.75" hidden="1" outlineLevel="4" thickBot="1" x14ac:dyDescent="0.3">
      <c r="A173" s="1"/>
      <c r="B173" s="1"/>
      <c r="C173" s="1"/>
      <c r="D173" s="1"/>
      <c r="E173" s="1" t="s">
        <v>140</v>
      </c>
      <c r="F173" s="3">
        <v>0</v>
      </c>
      <c r="G173" s="3">
        <v>0</v>
      </c>
      <c r="H173" s="3">
        <v>0</v>
      </c>
      <c r="I173" s="3">
        <v>0</v>
      </c>
      <c r="J173" s="3">
        <v>0</v>
      </c>
      <c r="K173" s="3">
        <v>0</v>
      </c>
      <c r="L173" s="3">
        <v>0</v>
      </c>
      <c r="M173" s="3">
        <v>0</v>
      </c>
      <c r="N173" s="3">
        <v>0</v>
      </c>
      <c r="O173" s="3">
        <v>0</v>
      </c>
      <c r="P173" s="3">
        <v>0</v>
      </c>
      <c r="Q173" s="3">
        <v>0</v>
      </c>
      <c r="R173" s="3">
        <f>ROUND(SUM(F173:Q173),5)</f>
        <v>0</v>
      </c>
      <c r="S173" s="100">
        <f t="shared" si="143"/>
        <v>0</v>
      </c>
    </row>
    <row r="174" spans="1:19" hidden="1" outlineLevel="3" collapsed="1" x14ac:dyDescent="0.25">
      <c r="A174" s="1"/>
      <c r="B174" s="1"/>
      <c r="C174" s="1"/>
      <c r="D174" s="1" t="s">
        <v>141</v>
      </c>
      <c r="E174" s="1"/>
      <c r="F174" s="2">
        <f t="shared" ref="F174:Q174" si="145">ROUND(SUM(F172:F173),5)</f>
        <v>0</v>
      </c>
      <c r="G174" s="2">
        <f t="shared" si="145"/>
        <v>0</v>
      </c>
      <c r="H174" s="2">
        <f t="shared" si="145"/>
        <v>0</v>
      </c>
      <c r="I174" s="2">
        <f t="shared" si="145"/>
        <v>0</v>
      </c>
      <c r="J174" s="2">
        <f t="shared" si="145"/>
        <v>0</v>
      </c>
      <c r="K174" s="2">
        <f t="shared" si="145"/>
        <v>0</v>
      </c>
      <c r="L174" s="2">
        <f t="shared" si="145"/>
        <v>0</v>
      </c>
      <c r="M174" s="2">
        <f t="shared" si="145"/>
        <v>0</v>
      </c>
      <c r="N174" s="2">
        <f t="shared" si="145"/>
        <v>0</v>
      </c>
      <c r="O174" s="2">
        <f t="shared" si="145"/>
        <v>0</v>
      </c>
      <c r="P174" s="2">
        <f t="shared" si="145"/>
        <v>0</v>
      </c>
      <c r="Q174" s="2">
        <f t="shared" si="145"/>
        <v>0</v>
      </c>
      <c r="R174" s="2">
        <f>ROUND(SUM(F174:Q174),5)</f>
        <v>0</v>
      </c>
      <c r="S174" s="100">
        <f t="shared" si="143"/>
        <v>0</v>
      </c>
    </row>
    <row r="175" spans="1:19" hidden="1" outlineLevel="4" x14ac:dyDescent="0.25">
      <c r="A175" s="1"/>
      <c r="B175" s="1"/>
      <c r="C175" s="1"/>
      <c r="D175" s="1" t="s">
        <v>142</v>
      </c>
      <c r="E175" s="1"/>
      <c r="F175" s="2"/>
      <c r="G175" s="2"/>
      <c r="H175" s="2"/>
      <c r="I175" s="2"/>
      <c r="J175" s="2"/>
      <c r="K175" s="2"/>
      <c r="L175" s="2"/>
      <c r="M175" s="2"/>
      <c r="N175" s="2"/>
      <c r="O175" s="2"/>
      <c r="P175" s="2"/>
      <c r="Q175" s="2"/>
      <c r="R175" s="2"/>
      <c r="S175" s="100">
        <f t="shared" si="143"/>
        <v>0</v>
      </c>
    </row>
    <row r="176" spans="1:19" hidden="1" outlineLevel="4" x14ac:dyDescent="0.25">
      <c r="A176" s="1"/>
      <c r="B176" s="1"/>
      <c r="C176" s="1"/>
      <c r="D176" s="1"/>
      <c r="E176" s="1" t="s">
        <v>143</v>
      </c>
      <c r="F176" s="2">
        <v>0</v>
      </c>
      <c r="G176" s="2">
        <v>0</v>
      </c>
      <c r="H176" s="2">
        <v>0</v>
      </c>
      <c r="I176" s="2">
        <v>2500</v>
      </c>
      <c r="J176" s="2">
        <v>0</v>
      </c>
      <c r="K176" s="2">
        <v>0</v>
      </c>
      <c r="L176" s="2">
        <v>0</v>
      </c>
      <c r="M176" s="2">
        <v>1000</v>
      </c>
      <c r="N176" s="2">
        <v>2000</v>
      </c>
      <c r="O176" s="2">
        <v>0</v>
      </c>
      <c r="P176" s="2">
        <v>1000</v>
      </c>
      <c r="Q176" s="2">
        <v>0</v>
      </c>
      <c r="R176" s="2">
        <f t="shared" ref="R176:R181" si="146">ROUND(SUM(F176:Q176),5)</f>
        <v>6500</v>
      </c>
      <c r="S176" s="100">
        <f t="shared" si="143"/>
        <v>3.6111111111111108E-2</v>
      </c>
    </row>
    <row r="177" spans="1:19" hidden="1" outlineLevel="4" x14ac:dyDescent="0.25">
      <c r="A177" s="1"/>
      <c r="B177" s="1"/>
      <c r="C177" s="1"/>
      <c r="D177" s="1"/>
      <c r="E177" s="1" t="s">
        <v>144</v>
      </c>
      <c r="F177" s="2">
        <v>0</v>
      </c>
      <c r="G177" s="2">
        <v>0</v>
      </c>
      <c r="H177" s="2">
        <v>0</v>
      </c>
      <c r="I177" s="2">
        <v>0</v>
      </c>
      <c r="J177" s="2">
        <v>0</v>
      </c>
      <c r="K177" s="2">
        <v>0</v>
      </c>
      <c r="L177" s="2">
        <v>0</v>
      </c>
      <c r="M177" s="2">
        <v>0</v>
      </c>
      <c r="N177" s="2">
        <v>0</v>
      </c>
      <c r="O177" s="2">
        <v>0</v>
      </c>
      <c r="P177" s="2">
        <v>0</v>
      </c>
      <c r="Q177" s="2">
        <v>0</v>
      </c>
      <c r="R177" s="2">
        <f t="shared" si="146"/>
        <v>0</v>
      </c>
      <c r="S177" s="100">
        <f t="shared" si="143"/>
        <v>0</v>
      </c>
    </row>
    <row r="178" spans="1:19" hidden="1" outlineLevel="4" x14ac:dyDescent="0.25">
      <c r="A178" s="1"/>
      <c r="B178" s="1"/>
      <c r="C178" s="1"/>
      <c r="D178" s="1"/>
      <c r="E178" s="1" t="s">
        <v>145</v>
      </c>
      <c r="F178" s="2">
        <v>0</v>
      </c>
      <c r="G178" s="2">
        <v>30000</v>
      </c>
      <c r="H178" s="2">
        <v>0</v>
      </c>
      <c r="I178" s="2">
        <v>500</v>
      </c>
      <c r="J178" s="2">
        <v>0</v>
      </c>
      <c r="K178" s="2">
        <v>800</v>
      </c>
      <c r="L178" s="2">
        <v>500</v>
      </c>
      <c r="M178" s="2">
        <v>0</v>
      </c>
      <c r="N178" s="2">
        <v>500</v>
      </c>
      <c r="O178" s="2">
        <v>0</v>
      </c>
      <c r="P178" s="2">
        <v>500</v>
      </c>
      <c r="Q178" s="2">
        <v>0</v>
      </c>
      <c r="R178" s="2">
        <f t="shared" si="146"/>
        <v>32800</v>
      </c>
      <c r="S178" s="100">
        <f t="shared" si="143"/>
        <v>0.18222222222222223</v>
      </c>
    </row>
    <row r="179" spans="1:19" hidden="1" outlineLevel="4" x14ac:dyDescent="0.25">
      <c r="A179" s="1"/>
      <c r="B179" s="1"/>
      <c r="C179" s="1"/>
      <c r="D179" s="1"/>
      <c r="E179" s="1" t="s">
        <v>146</v>
      </c>
      <c r="F179" s="2">
        <v>0</v>
      </c>
      <c r="G179" s="2">
        <v>0</v>
      </c>
      <c r="H179" s="2">
        <v>0</v>
      </c>
      <c r="I179" s="2">
        <v>0</v>
      </c>
      <c r="J179" s="2">
        <v>0</v>
      </c>
      <c r="K179" s="2">
        <v>0</v>
      </c>
      <c r="L179" s="2">
        <v>0</v>
      </c>
      <c r="M179" s="2">
        <v>0</v>
      </c>
      <c r="N179" s="2">
        <v>0</v>
      </c>
      <c r="O179" s="2">
        <v>0</v>
      </c>
      <c r="P179" s="2">
        <v>0</v>
      </c>
      <c r="Q179" s="2">
        <v>0</v>
      </c>
      <c r="R179" s="2">
        <f t="shared" si="146"/>
        <v>0</v>
      </c>
      <c r="S179" s="100">
        <f t="shared" si="143"/>
        <v>0</v>
      </c>
    </row>
    <row r="180" spans="1:19" ht="15.75" hidden="1" outlineLevel="4" thickBot="1" x14ac:dyDescent="0.3">
      <c r="A180" s="1"/>
      <c r="B180" s="1"/>
      <c r="C180" s="1"/>
      <c r="D180" s="1"/>
      <c r="E180" s="1" t="s">
        <v>147</v>
      </c>
      <c r="F180" s="3">
        <v>0</v>
      </c>
      <c r="G180" s="3">
        <v>500</v>
      </c>
      <c r="H180" s="3">
        <v>0</v>
      </c>
      <c r="I180" s="3">
        <v>0</v>
      </c>
      <c r="J180" s="3">
        <v>0</v>
      </c>
      <c r="K180" s="3">
        <v>0</v>
      </c>
      <c r="L180" s="3">
        <v>0</v>
      </c>
      <c r="M180" s="3">
        <v>500</v>
      </c>
      <c r="N180" s="3">
        <v>0</v>
      </c>
      <c r="O180" s="3">
        <v>0</v>
      </c>
      <c r="P180" s="3">
        <v>0</v>
      </c>
      <c r="Q180" s="3">
        <v>0</v>
      </c>
      <c r="R180" s="3">
        <f t="shared" si="146"/>
        <v>1000</v>
      </c>
      <c r="S180" s="100">
        <f t="shared" si="143"/>
        <v>5.5555555555555558E-3</v>
      </c>
    </row>
    <row r="181" spans="1:19" hidden="1" outlineLevel="3" collapsed="1" x14ac:dyDescent="0.25">
      <c r="A181" s="1"/>
      <c r="B181" s="1"/>
      <c r="C181" s="1"/>
      <c r="D181" s="1" t="s">
        <v>148</v>
      </c>
      <c r="E181" s="1"/>
      <c r="F181" s="2">
        <f t="shared" ref="F181:Q181" si="147">ROUND(SUM(F175:F180),5)</f>
        <v>0</v>
      </c>
      <c r="G181" s="2">
        <f t="shared" si="147"/>
        <v>30500</v>
      </c>
      <c r="H181" s="2">
        <f t="shared" si="147"/>
        <v>0</v>
      </c>
      <c r="I181" s="2">
        <f t="shared" si="147"/>
        <v>3000</v>
      </c>
      <c r="J181" s="2">
        <f t="shared" si="147"/>
        <v>0</v>
      </c>
      <c r="K181" s="2">
        <f t="shared" si="147"/>
        <v>800</v>
      </c>
      <c r="L181" s="2">
        <f t="shared" si="147"/>
        <v>500</v>
      </c>
      <c r="M181" s="2">
        <f t="shared" si="147"/>
        <v>1500</v>
      </c>
      <c r="N181" s="2">
        <f t="shared" si="147"/>
        <v>2500</v>
      </c>
      <c r="O181" s="2">
        <f t="shared" si="147"/>
        <v>0</v>
      </c>
      <c r="P181" s="2">
        <f t="shared" si="147"/>
        <v>1500</v>
      </c>
      <c r="Q181" s="2">
        <f t="shared" si="147"/>
        <v>0</v>
      </c>
      <c r="R181" s="2">
        <f t="shared" si="146"/>
        <v>40300</v>
      </c>
      <c r="S181" s="100">
        <f t="shared" si="143"/>
        <v>0.22388888888888889</v>
      </c>
    </row>
    <row r="182" spans="1:19" hidden="1" outlineLevel="4" x14ac:dyDescent="0.25">
      <c r="A182" s="1"/>
      <c r="B182" s="1"/>
      <c r="C182" s="1"/>
      <c r="D182" s="1" t="s">
        <v>149</v>
      </c>
      <c r="E182" s="1"/>
      <c r="F182" s="2"/>
      <c r="G182" s="2"/>
      <c r="H182" s="2"/>
      <c r="I182" s="2"/>
      <c r="J182" s="2"/>
      <c r="K182" s="2"/>
      <c r="L182" s="2"/>
      <c r="M182" s="2"/>
      <c r="N182" s="2"/>
      <c r="O182" s="2"/>
      <c r="P182" s="2"/>
      <c r="Q182" s="2"/>
      <c r="R182" s="2"/>
      <c r="S182" s="100">
        <f t="shared" si="143"/>
        <v>0</v>
      </c>
    </row>
    <row r="183" spans="1:19" ht="15.75" hidden="1" outlineLevel="4" thickBot="1" x14ac:dyDescent="0.3">
      <c r="A183" s="1"/>
      <c r="B183" s="1"/>
      <c r="C183" s="1"/>
      <c r="D183" s="1"/>
      <c r="E183" s="1" t="s">
        <v>150</v>
      </c>
      <c r="F183" s="3">
        <v>0</v>
      </c>
      <c r="G183" s="3">
        <v>0</v>
      </c>
      <c r="H183" s="3">
        <v>0</v>
      </c>
      <c r="I183" s="3">
        <v>0</v>
      </c>
      <c r="J183" s="3">
        <v>0</v>
      </c>
      <c r="K183" s="3">
        <v>0</v>
      </c>
      <c r="L183" s="3">
        <v>0</v>
      </c>
      <c r="M183" s="3">
        <v>0</v>
      </c>
      <c r="N183" s="3">
        <v>0</v>
      </c>
      <c r="O183" s="3">
        <v>1500</v>
      </c>
      <c r="P183" s="3">
        <v>0</v>
      </c>
      <c r="Q183" s="3">
        <v>0</v>
      </c>
      <c r="R183" s="3">
        <f>ROUND(SUM(F183:Q183),5)</f>
        <v>1500</v>
      </c>
      <c r="S183" s="100">
        <f t="shared" si="143"/>
        <v>8.3333333333333332E-3</v>
      </c>
    </row>
    <row r="184" spans="1:19" ht="15.75" hidden="1" outlineLevel="3" collapsed="1" thickBot="1" x14ac:dyDescent="0.3">
      <c r="A184" s="1"/>
      <c r="B184" s="1"/>
      <c r="C184" s="1"/>
      <c r="D184" s="1" t="s">
        <v>151</v>
      </c>
      <c r="E184" s="1"/>
      <c r="F184" s="2">
        <f t="shared" ref="F184:Q184" si="148">ROUND(SUM(F182:F183),5)</f>
        <v>0</v>
      </c>
      <c r="G184" s="2">
        <f t="shared" si="148"/>
        <v>0</v>
      </c>
      <c r="H184" s="2">
        <f t="shared" si="148"/>
        <v>0</v>
      </c>
      <c r="I184" s="2">
        <f t="shared" si="148"/>
        <v>0</v>
      </c>
      <c r="J184" s="2">
        <f t="shared" si="148"/>
        <v>0</v>
      </c>
      <c r="K184" s="2">
        <f t="shared" si="148"/>
        <v>0</v>
      </c>
      <c r="L184" s="2">
        <f t="shared" si="148"/>
        <v>0</v>
      </c>
      <c r="M184" s="2">
        <f t="shared" si="148"/>
        <v>0</v>
      </c>
      <c r="N184" s="2">
        <f t="shared" si="148"/>
        <v>0</v>
      </c>
      <c r="O184" s="2">
        <f t="shared" si="148"/>
        <v>1500</v>
      </c>
      <c r="P184" s="2">
        <f t="shared" si="148"/>
        <v>0</v>
      </c>
      <c r="Q184" s="2">
        <f t="shared" si="148"/>
        <v>0</v>
      </c>
      <c r="R184" s="2">
        <f>ROUND(SUM(F184:Q184),5)</f>
        <v>1500</v>
      </c>
      <c r="S184" s="100">
        <f t="shared" si="143"/>
        <v>8.3333333333333332E-3</v>
      </c>
    </row>
    <row r="185" spans="1:19" hidden="1" outlineLevel="4" x14ac:dyDescent="0.25">
      <c r="A185" s="1"/>
      <c r="B185" s="1"/>
      <c r="C185" s="1"/>
      <c r="D185" s="1" t="s">
        <v>152</v>
      </c>
      <c r="E185" s="1"/>
      <c r="F185" s="2"/>
      <c r="G185" s="2"/>
      <c r="H185" s="2"/>
      <c r="I185" s="2"/>
      <c r="J185" s="2"/>
      <c r="K185" s="2"/>
      <c r="L185" s="2"/>
      <c r="M185" s="2"/>
      <c r="N185" s="2"/>
      <c r="O185" s="2"/>
      <c r="P185" s="2"/>
      <c r="Q185" s="2"/>
      <c r="R185" s="2"/>
      <c r="S185" s="100">
        <f t="shared" si="143"/>
        <v>0</v>
      </c>
    </row>
    <row r="186" spans="1:19" ht="15.75" hidden="1" outlineLevel="4" thickBot="1" x14ac:dyDescent="0.3">
      <c r="A186" s="1"/>
      <c r="B186" s="1"/>
      <c r="C186" s="1"/>
      <c r="D186" s="1"/>
      <c r="E186" s="1" t="s">
        <v>153</v>
      </c>
      <c r="F186" s="2">
        <v>1500</v>
      </c>
      <c r="G186" s="2">
        <v>0</v>
      </c>
      <c r="H186" s="2">
        <f>+F186</f>
        <v>1500</v>
      </c>
      <c r="I186" s="2">
        <v>0</v>
      </c>
      <c r="J186" s="2">
        <f>+H186</f>
        <v>1500</v>
      </c>
      <c r="K186" s="2">
        <v>0</v>
      </c>
      <c r="L186" s="2">
        <f>+J186</f>
        <v>1500</v>
      </c>
      <c r="M186" s="2">
        <v>0</v>
      </c>
      <c r="N186" s="2">
        <f>+L186</f>
        <v>1500</v>
      </c>
      <c r="O186" s="2">
        <v>0</v>
      </c>
      <c r="P186" s="2">
        <v>700</v>
      </c>
      <c r="Q186" s="2">
        <v>0</v>
      </c>
      <c r="R186" s="2">
        <f>ROUND(SUM(F186:Q186),5)</f>
        <v>8200</v>
      </c>
      <c r="S186" s="100">
        <f t="shared" si="143"/>
        <v>4.5555555555555557E-2</v>
      </c>
    </row>
    <row r="187" spans="1:19" ht="15.75" hidden="1" outlineLevel="3" collapsed="1" thickBot="1" x14ac:dyDescent="0.3">
      <c r="A187" s="1"/>
      <c r="B187" s="1"/>
      <c r="C187" s="1"/>
      <c r="D187" s="1" t="s">
        <v>154</v>
      </c>
      <c r="E187" s="1"/>
      <c r="F187" s="5">
        <f t="shared" ref="F187:Q187" si="149">ROUND(SUM(F185:F186),5)</f>
        <v>1500</v>
      </c>
      <c r="G187" s="5">
        <f t="shared" si="149"/>
        <v>0</v>
      </c>
      <c r="H187" s="5">
        <f t="shared" si="149"/>
        <v>1500</v>
      </c>
      <c r="I187" s="5">
        <f t="shared" si="149"/>
        <v>0</v>
      </c>
      <c r="J187" s="5">
        <f t="shared" si="149"/>
        <v>1500</v>
      </c>
      <c r="K187" s="5">
        <f t="shared" si="149"/>
        <v>0</v>
      </c>
      <c r="L187" s="5">
        <f t="shared" si="149"/>
        <v>1500</v>
      </c>
      <c r="M187" s="5">
        <f t="shared" si="149"/>
        <v>0</v>
      </c>
      <c r="N187" s="5">
        <f t="shared" si="149"/>
        <v>1500</v>
      </c>
      <c r="O187" s="5">
        <f t="shared" si="149"/>
        <v>0</v>
      </c>
      <c r="P187" s="5">
        <f t="shared" si="149"/>
        <v>700</v>
      </c>
      <c r="Q187" s="5">
        <f t="shared" si="149"/>
        <v>0</v>
      </c>
      <c r="R187" s="2">
        <f>ROUND(SUM(F187:Q187),5)</f>
        <v>8200</v>
      </c>
      <c r="S187" s="100">
        <f t="shared" si="143"/>
        <v>4.5555555555555557E-2</v>
      </c>
    </row>
    <row r="188" spans="1:19" ht="15.75" outlineLevel="2" collapsed="1" thickBot="1" x14ac:dyDescent="0.3">
      <c r="A188" s="1"/>
      <c r="B188" s="1"/>
      <c r="C188" s="1" t="s">
        <v>155</v>
      </c>
      <c r="D188" s="1"/>
      <c r="E188" s="1"/>
      <c r="F188" s="5">
        <f t="shared" ref="F188:Q188" si="150">ROUND(F157+F164+F167+F171+F174+F181+F184+F187,5)</f>
        <v>1500</v>
      </c>
      <c r="G188" s="5">
        <f t="shared" si="150"/>
        <v>95500</v>
      </c>
      <c r="H188" s="5">
        <f t="shared" si="150"/>
        <v>56500</v>
      </c>
      <c r="I188" s="5">
        <f t="shared" si="150"/>
        <v>5000</v>
      </c>
      <c r="J188" s="5">
        <f t="shared" si="150"/>
        <v>2500</v>
      </c>
      <c r="K188" s="5">
        <f t="shared" si="150"/>
        <v>1800</v>
      </c>
      <c r="L188" s="5">
        <f t="shared" si="150"/>
        <v>3000</v>
      </c>
      <c r="M188" s="5">
        <f t="shared" si="150"/>
        <v>3500</v>
      </c>
      <c r="N188" s="5">
        <f t="shared" si="150"/>
        <v>5000</v>
      </c>
      <c r="O188" s="5">
        <f t="shared" si="150"/>
        <v>2500</v>
      </c>
      <c r="P188" s="5">
        <f t="shared" si="150"/>
        <v>3200</v>
      </c>
      <c r="Q188" s="5">
        <f t="shared" si="150"/>
        <v>0</v>
      </c>
      <c r="R188" s="3">
        <f>ROUND(SUM(F188:Q188),5)</f>
        <v>180000</v>
      </c>
      <c r="S188" s="103">
        <f>+S164+S167+S171+S174+S181+S184+S187</f>
        <v>1</v>
      </c>
    </row>
    <row r="189" spans="1:19" ht="15.75" outlineLevel="1" thickBot="1" x14ac:dyDescent="0.3">
      <c r="A189" s="1"/>
      <c r="B189" s="1" t="s">
        <v>156</v>
      </c>
      <c r="C189" s="1"/>
      <c r="D189" s="1"/>
      <c r="E189" s="1"/>
      <c r="F189" s="5">
        <f t="shared" ref="F189:Q189" si="151">ROUND(F39+SUM(F155:F156)+F188,5)</f>
        <v>1155803.72071</v>
      </c>
      <c r="G189" s="5">
        <f t="shared" si="151"/>
        <v>746875.24571000005</v>
      </c>
      <c r="H189" s="5">
        <f t="shared" si="151"/>
        <v>649928.74571000005</v>
      </c>
      <c r="I189" s="5">
        <f t="shared" si="151"/>
        <v>568925.24571000005</v>
      </c>
      <c r="J189" s="5">
        <f t="shared" si="151"/>
        <v>573875.24571000005</v>
      </c>
      <c r="K189" s="5">
        <f t="shared" si="151"/>
        <v>572175.24571000005</v>
      </c>
      <c r="L189" s="5">
        <f t="shared" si="151"/>
        <v>1430125.2457099999</v>
      </c>
      <c r="M189" s="5">
        <f t="shared" si="151"/>
        <v>569125.24571000005</v>
      </c>
      <c r="N189" s="5">
        <f t="shared" si="151"/>
        <v>575875.24571000005</v>
      </c>
      <c r="O189" s="5">
        <f t="shared" si="151"/>
        <v>569375.24571000005</v>
      </c>
      <c r="P189" s="5">
        <f t="shared" si="151"/>
        <v>566875.24571000005</v>
      </c>
      <c r="Q189" s="5">
        <f t="shared" si="151"/>
        <v>527803.72071000002</v>
      </c>
      <c r="R189" s="5">
        <f>ROUND(SUM(F189:Q189),5)</f>
        <v>8506763.3985200003</v>
      </c>
      <c r="S189" s="100"/>
    </row>
    <row r="190" spans="1:19" s="7" customFormat="1" ht="12" thickBot="1" x14ac:dyDescent="0.25">
      <c r="A190" s="1" t="s">
        <v>157</v>
      </c>
      <c r="B190" s="1"/>
      <c r="C190" s="1"/>
      <c r="D190" s="1"/>
      <c r="E190" s="1"/>
      <c r="F190" s="6">
        <f t="shared" ref="F190:Q190" si="152">ROUND(F38-F189,5)</f>
        <v>-474991.38737000001</v>
      </c>
      <c r="G190" s="6">
        <f t="shared" si="152"/>
        <v>-12627.91237</v>
      </c>
      <c r="H190" s="6">
        <f t="shared" si="152"/>
        <v>81318.587629999995</v>
      </c>
      <c r="I190" s="6">
        <f t="shared" si="152"/>
        <v>163322.08762999999</v>
      </c>
      <c r="J190" s="6">
        <f t="shared" si="152"/>
        <v>167872.08762999999</v>
      </c>
      <c r="K190" s="6">
        <f t="shared" si="152"/>
        <v>159072.08762999999</v>
      </c>
      <c r="L190" s="6">
        <f t="shared" si="152"/>
        <v>-698877.91237000003</v>
      </c>
      <c r="M190" s="6">
        <f t="shared" si="152"/>
        <v>162122.08762999999</v>
      </c>
      <c r="N190" s="6">
        <f t="shared" si="152"/>
        <v>161372.08762999999</v>
      </c>
      <c r="O190" s="6">
        <f t="shared" si="152"/>
        <v>162372.08762999999</v>
      </c>
      <c r="P190" s="6">
        <f t="shared" si="152"/>
        <v>164372.08762999999</v>
      </c>
      <c r="Q190" s="6">
        <f t="shared" si="152"/>
        <v>151008.61262999999</v>
      </c>
      <c r="R190" s="6">
        <f>ROUND(SUM(F190:Q190),5)</f>
        <v>186334.60156000001</v>
      </c>
      <c r="S190" s="101"/>
    </row>
    <row r="191" spans="1:19" ht="15.75" thickTop="1" x14ac:dyDescent="0.25"/>
    <row r="192" spans="1:19" x14ac:dyDescent="0.25">
      <c r="A192" s="1"/>
      <c r="R192" s="107"/>
    </row>
    <row r="193" spans="18:18" x14ac:dyDescent="0.25">
      <c r="R193" s="108"/>
    </row>
    <row r="194" spans="18:18" x14ac:dyDescent="0.25">
      <c r="R194" s="107"/>
    </row>
  </sheetData>
  <pageMargins left="0.7" right="0.7" top="0.75" bottom="0.75" header="0.1" footer="0.3"/>
  <pageSetup scale="95" orientation="portrait" horizontalDpi="360" verticalDpi="360" r:id="rId1"/>
  <headerFooter>
    <oddHeader>&amp;C&amp;"Arial,Bold"&amp;12 Dreamers Academy
&amp;14 Profit &amp;&amp; Loss Budget Forecast
&amp;10 July 2025 through June 2026</oddHeader>
    <oddFooter>&amp;R&amp;"Arial,Bold"&amp;8 Page &amp;P of &amp;N</oddFooter>
  </headerFooter>
  <drawing r:id="rId2"/>
  <legacyDrawing r:id="rId3"/>
  <controls>
    <mc:AlternateContent xmlns:mc="http://schemas.openxmlformats.org/markup-compatibility/2006">
      <mc:Choice Requires="x14">
        <control shapeId="1025" r:id="rId4" name="FILTER">
          <controlPr defaultSize="0" autoLine="0" r:id="rId5">
            <anchor moveWithCells="1">
              <from>
                <xdr:col>0</xdr:col>
                <xdr:colOff>0</xdr:colOff>
                <xdr:row>0</xdr:row>
                <xdr:rowOff>0</xdr:rowOff>
              </from>
              <to>
                <xdr:col>4</xdr:col>
                <xdr:colOff>114300</xdr:colOff>
                <xdr:row>1</xdr:row>
                <xdr:rowOff>28575</xdr:rowOff>
              </to>
            </anchor>
          </controlPr>
        </control>
      </mc:Choice>
      <mc:Fallback>
        <control shapeId="1025" r:id="rId4" name="FILTER"/>
      </mc:Fallback>
    </mc:AlternateContent>
    <mc:AlternateContent xmlns:mc="http://schemas.openxmlformats.org/markup-compatibility/2006">
      <mc:Choice Requires="x14">
        <control shapeId="1026" r:id="rId6" name="HEADER">
          <controlPr defaultSize="0" autoLine="0" r:id="rId7">
            <anchor moveWithCells="1">
              <from>
                <xdr:col>0</xdr:col>
                <xdr:colOff>0</xdr:colOff>
                <xdr:row>0</xdr:row>
                <xdr:rowOff>0</xdr:rowOff>
              </from>
              <to>
                <xdr:col>4</xdr:col>
                <xdr:colOff>114300</xdr:colOff>
                <xdr:row>1</xdr:row>
                <xdr:rowOff>28575</xdr:rowOff>
              </to>
            </anchor>
          </controlPr>
        </control>
      </mc:Choice>
      <mc:Fallback>
        <control shapeId="1026" r:id="rId6" name="HEAD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FD1C-84D2-471B-BCB1-4B7CEB23D355}">
  <dimension ref="A1:K127"/>
  <sheetViews>
    <sheetView topLeftCell="A8" workbookViewId="0">
      <selection activeCell="C16" sqref="C16:D16"/>
    </sheetView>
  </sheetViews>
  <sheetFormatPr defaultRowHeight="15" x14ac:dyDescent="0.25"/>
  <cols>
    <col min="1" max="1" width="11.42578125" customWidth="1"/>
    <col min="2" max="2" width="47.5703125" customWidth="1"/>
    <col min="3" max="3" width="22.42578125" customWidth="1"/>
    <col min="4" max="4" width="10.5703125" bestFit="1" customWidth="1"/>
    <col min="5" max="5" width="14.5703125" customWidth="1"/>
    <col min="6" max="6" width="11" customWidth="1"/>
    <col min="7" max="7" width="20.140625" bestFit="1" customWidth="1"/>
    <col min="8" max="8" width="31" customWidth="1"/>
    <col min="9" max="9" width="1.28515625" customWidth="1"/>
    <col min="10" max="10" width="22.85546875" customWidth="1"/>
    <col min="11" max="11" width="15.5703125" customWidth="1"/>
  </cols>
  <sheetData>
    <row r="1" spans="1:11" ht="16.5" thickBot="1" x14ac:dyDescent="0.3">
      <c r="A1" s="11">
        <v>58</v>
      </c>
      <c r="B1" s="148" t="s">
        <v>158</v>
      </c>
      <c r="C1" s="149"/>
      <c r="D1" s="149"/>
      <c r="E1" s="149"/>
      <c r="F1" s="149"/>
      <c r="G1" s="149"/>
      <c r="H1" s="149"/>
      <c r="I1" s="12"/>
      <c r="J1" s="44"/>
      <c r="K1" s="12"/>
    </row>
    <row r="2" spans="1:11" ht="20.25" x14ac:dyDescent="0.3">
      <c r="A2" s="150" t="s">
        <v>159</v>
      </c>
      <c r="B2" s="150"/>
      <c r="C2" s="150"/>
      <c r="D2" s="150"/>
      <c r="E2" s="150"/>
      <c r="F2" s="150"/>
      <c r="G2" s="150"/>
      <c r="H2" s="150"/>
      <c r="I2" s="13"/>
      <c r="J2" s="13"/>
      <c r="K2" s="13"/>
    </row>
    <row r="3" spans="1:11" ht="18.75" x14ac:dyDescent="0.3">
      <c r="A3" s="151" t="s">
        <v>384</v>
      </c>
      <c r="B3" s="151"/>
      <c r="C3" s="151"/>
      <c r="D3" s="151"/>
      <c r="E3" s="151"/>
      <c r="F3" s="151"/>
      <c r="G3" s="151"/>
      <c r="H3" s="151"/>
      <c r="I3" s="14"/>
      <c r="J3" s="14"/>
      <c r="K3" s="14"/>
    </row>
    <row r="4" spans="1:11" ht="15.75" x14ac:dyDescent="0.25">
      <c r="A4" s="152" t="s">
        <v>160</v>
      </c>
      <c r="B4" s="152"/>
      <c r="C4" s="153" t="str">
        <f>INDEX('[1]Detail 2024-25 FEFP Conference'!$B$1:$B$65536,MATCH('[1]All charter school calculator'!$A$1,'[1]Detail 2024-25 FEFP Conference'!A$1:A$65536,0))</f>
        <v>Sarasota</v>
      </c>
      <c r="D4" s="153"/>
      <c r="E4" s="15"/>
      <c r="F4" s="15"/>
      <c r="G4" s="15"/>
      <c r="H4" s="15"/>
      <c r="I4" s="16"/>
      <c r="J4" s="16"/>
      <c r="K4" s="16"/>
    </row>
    <row r="5" spans="1:11" ht="15.75" x14ac:dyDescent="0.25">
      <c r="A5" s="154" t="s">
        <v>385</v>
      </c>
      <c r="B5" s="154"/>
      <c r="C5" s="154"/>
      <c r="D5" s="154"/>
      <c r="E5" s="154"/>
      <c r="F5" s="154"/>
      <c r="G5" s="154"/>
      <c r="H5" s="154"/>
      <c r="I5" s="16"/>
      <c r="J5" s="16"/>
      <c r="K5" s="16"/>
    </row>
    <row r="6" spans="1:11" ht="15.75" x14ac:dyDescent="0.25">
      <c r="A6" s="140" t="s">
        <v>161</v>
      </c>
      <c r="B6" s="140"/>
      <c r="C6" s="141">
        <f>5330.98*1.02</f>
        <v>5437.5995999999996</v>
      </c>
      <c r="D6" s="141"/>
      <c r="E6" s="142" t="s">
        <v>386</v>
      </c>
      <c r="F6" s="142"/>
      <c r="G6" s="143">
        <f>INDEX('[1]Detail 2024-25 FEFP Conference'!$C$1:$C$65536,MATCH('[1]All charter school calculator'!$A$1,'[1]Detail 2024-25 FEFP Conference'!$A$1:$A$65536,0))</f>
        <v>1.0158</v>
      </c>
      <c r="H6" s="143"/>
      <c r="I6" s="12"/>
      <c r="J6" s="12"/>
      <c r="K6" s="12"/>
    </row>
    <row r="7" spans="1:11" ht="15.75" x14ac:dyDescent="0.25">
      <c r="A7" s="17"/>
      <c r="B7" s="17"/>
      <c r="C7" s="109"/>
      <c r="D7" s="109"/>
      <c r="E7" s="110" t="s">
        <v>387</v>
      </c>
      <c r="F7" s="110"/>
      <c r="G7" s="111">
        <f>INDEX('[1]Detail 2024-25 FEFP Conference'!$D$1:$D$65536,MATCH('[1]All charter school calculator'!$A$1,'[1]Detail 2024-25 FEFP Conference'!$A$1:$A$65536,0))</f>
        <v>1</v>
      </c>
      <c r="H7" s="111"/>
      <c r="I7" s="12"/>
      <c r="J7" s="12"/>
      <c r="K7" s="12"/>
    </row>
    <row r="8" spans="1:11" ht="15.75" x14ac:dyDescent="0.25">
      <c r="A8" s="17"/>
      <c r="B8" s="17"/>
      <c r="C8" s="18"/>
      <c r="D8" s="18"/>
      <c r="E8" s="19"/>
      <c r="F8" s="19"/>
      <c r="G8" s="20"/>
      <c r="H8" s="21" t="s">
        <v>388</v>
      </c>
      <c r="I8" s="12"/>
      <c r="J8" s="12"/>
      <c r="K8" s="12"/>
    </row>
    <row r="9" spans="1:11" ht="15.75" x14ac:dyDescent="0.25">
      <c r="A9" s="17"/>
      <c r="B9" s="17"/>
      <c r="C9" s="18"/>
      <c r="D9" s="18"/>
      <c r="E9" s="144" t="s">
        <v>162</v>
      </c>
      <c r="F9" s="144"/>
      <c r="G9" s="20" t="s">
        <v>163</v>
      </c>
      <c r="H9" s="21" t="s">
        <v>164</v>
      </c>
      <c r="I9" s="12"/>
      <c r="J9" s="12"/>
      <c r="K9" s="12"/>
    </row>
    <row r="10" spans="1:11" ht="15.75" x14ac:dyDescent="0.25">
      <c r="A10" s="145" t="s">
        <v>162</v>
      </c>
      <c r="B10" s="145"/>
      <c r="C10" s="146" t="s">
        <v>165</v>
      </c>
      <c r="D10" s="146"/>
      <c r="E10" s="147" t="s">
        <v>166</v>
      </c>
      <c r="F10" s="147"/>
      <c r="G10" s="22" t="s">
        <v>167</v>
      </c>
      <c r="H10" s="23" t="s">
        <v>389</v>
      </c>
      <c r="I10" s="12"/>
      <c r="J10" s="12"/>
      <c r="K10" s="12"/>
    </row>
    <row r="11" spans="1:11" ht="15.75" x14ac:dyDescent="0.25">
      <c r="A11" s="158" t="s">
        <v>168</v>
      </c>
      <c r="B11" s="158"/>
      <c r="C11" s="159" t="s">
        <v>169</v>
      </c>
      <c r="D11" s="159"/>
      <c r="E11" s="160" t="s">
        <v>170</v>
      </c>
      <c r="F11" s="160"/>
      <c r="G11" s="24" t="s">
        <v>171</v>
      </c>
      <c r="H11" s="25" t="s">
        <v>172</v>
      </c>
      <c r="I11" s="12"/>
      <c r="J11" s="117"/>
      <c r="K11" s="12"/>
    </row>
    <row r="12" spans="1:11" ht="15.75" x14ac:dyDescent="0.25">
      <c r="A12" s="161" t="s">
        <v>173</v>
      </c>
      <c r="B12" s="161"/>
      <c r="C12" s="156">
        <v>342</v>
      </c>
      <c r="D12" s="156"/>
      <c r="E12" s="162">
        <v>1.1180000000000001</v>
      </c>
      <c r="F12" s="162"/>
      <c r="G12" s="26">
        <f>ROUND(C12*E12,4)</f>
        <v>382.35599999999999</v>
      </c>
      <c r="H12" s="27">
        <f>ROUND(ROUND(ROUND(G12*$C$6,4)*($G$6),0)*(MAX($G$7,1)),0)</f>
        <v>2111949</v>
      </c>
      <c r="I12" s="12"/>
      <c r="J12" s="117"/>
      <c r="K12" s="12"/>
    </row>
    <row r="13" spans="1:11" ht="15.75" x14ac:dyDescent="0.25">
      <c r="A13" s="155" t="s">
        <v>174</v>
      </c>
      <c r="B13" s="155"/>
      <c r="C13" s="156">
        <v>57</v>
      </c>
      <c r="D13" s="156"/>
      <c r="E13" s="157">
        <v>1.1180000000000001</v>
      </c>
      <c r="F13" s="157"/>
      <c r="G13" s="26">
        <f t="shared" ref="G13:G27" si="0">ROUND(C13*E13,4)</f>
        <v>63.725999999999999</v>
      </c>
      <c r="H13" s="27">
        <f t="shared" ref="H13:H27" si="1">ROUND(ROUND(ROUND(G13*$C$6,4)*($G$6),0)*(MAX($G$7,1)),0)</f>
        <v>351991</v>
      </c>
      <c r="I13" s="12"/>
      <c r="J13" s="117"/>
      <c r="K13" s="12"/>
    </row>
    <row r="14" spans="1:11" ht="15.75" x14ac:dyDescent="0.25">
      <c r="A14" s="155" t="s">
        <v>175</v>
      </c>
      <c r="B14" s="155"/>
      <c r="C14" s="156">
        <v>130</v>
      </c>
      <c r="D14" s="156"/>
      <c r="E14" s="157">
        <v>1</v>
      </c>
      <c r="F14" s="157"/>
      <c r="G14" s="26">
        <f t="shared" si="0"/>
        <v>130</v>
      </c>
      <c r="H14" s="27">
        <f t="shared" si="1"/>
        <v>718057</v>
      </c>
      <c r="I14" s="12"/>
      <c r="J14" s="117"/>
      <c r="K14" s="12"/>
    </row>
    <row r="15" spans="1:11" ht="15.75" x14ac:dyDescent="0.25">
      <c r="A15" s="155" t="s">
        <v>176</v>
      </c>
      <c r="B15" s="155"/>
      <c r="C15" s="156"/>
      <c r="D15" s="156"/>
      <c r="E15" s="157">
        <v>1</v>
      </c>
      <c r="F15" s="157"/>
      <c r="G15" s="26">
        <f t="shared" si="0"/>
        <v>0</v>
      </c>
      <c r="H15" s="27">
        <f t="shared" si="1"/>
        <v>0</v>
      </c>
      <c r="I15" s="12"/>
      <c r="J15" s="12"/>
      <c r="K15" s="12"/>
    </row>
    <row r="16" spans="1:11" ht="15.75" x14ac:dyDescent="0.25">
      <c r="A16" s="155" t="s">
        <v>177</v>
      </c>
      <c r="B16" s="155"/>
      <c r="C16" s="156"/>
      <c r="D16" s="156"/>
      <c r="E16" s="157">
        <v>0.97799999999999998</v>
      </c>
      <c r="F16" s="157"/>
      <c r="G16" s="26">
        <f t="shared" si="0"/>
        <v>0</v>
      </c>
      <c r="H16" s="27">
        <f t="shared" si="1"/>
        <v>0</v>
      </c>
      <c r="I16" s="12"/>
      <c r="J16" s="12"/>
      <c r="K16" s="12"/>
    </row>
    <row r="17" spans="1:11" ht="15.75" x14ac:dyDescent="0.25">
      <c r="A17" s="155" t="s">
        <v>178</v>
      </c>
      <c r="B17" s="155"/>
      <c r="C17" s="156"/>
      <c r="D17" s="156"/>
      <c r="E17" s="157">
        <v>0.97799999999999998</v>
      </c>
      <c r="F17" s="157"/>
      <c r="G17" s="26">
        <f t="shared" si="0"/>
        <v>0</v>
      </c>
      <c r="H17" s="27">
        <f t="shared" si="1"/>
        <v>0</v>
      </c>
      <c r="I17" s="12"/>
      <c r="J17" s="12"/>
      <c r="K17" s="12"/>
    </row>
    <row r="18" spans="1:11" ht="15.75" x14ac:dyDescent="0.25">
      <c r="A18" s="155" t="s">
        <v>179</v>
      </c>
      <c r="B18" s="155"/>
      <c r="C18" s="156"/>
      <c r="D18" s="156"/>
      <c r="E18" s="157">
        <v>3.6970000000000001</v>
      </c>
      <c r="F18" s="157"/>
      <c r="G18" s="26">
        <f t="shared" si="0"/>
        <v>0</v>
      </c>
      <c r="H18" s="27">
        <f t="shared" si="1"/>
        <v>0</v>
      </c>
      <c r="I18" s="12"/>
      <c r="J18" s="12"/>
      <c r="K18" s="12"/>
    </row>
    <row r="19" spans="1:11" ht="15.75" x14ac:dyDescent="0.25">
      <c r="A19" s="155" t="s">
        <v>180</v>
      </c>
      <c r="B19" s="155"/>
      <c r="C19" s="156"/>
      <c r="D19" s="156"/>
      <c r="E19" s="157">
        <v>3.6970000000000001</v>
      </c>
      <c r="F19" s="157"/>
      <c r="G19" s="26">
        <f t="shared" si="0"/>
        <v>0</v>
      </c>
      <c r="H19" s="27">
        <f t="shared" si="1"/>
        <v>0</v>
      </c>
      <c r="I19" s="12"/>
      <c r="J19" s="12"/>
      <c r="K19" s="12"/>
    </row>
    <row r="20" spans="1:11" ht="15.75" x14ac:dyDescent="0.25">
      <c r="A20" s="155" t="s">
        <v>181</v>
      </c>
      <c r="B20" s="155"/>
      <c r="C20" s="156"/>
      <c r="D20" s="156"/>
      <c r="E20" s="157">
        <v>3.6970000000000001</v>
      </c>
      <c r="F20" s="157"/>
      <c r="G20" s="26">
        <f t="shared" si="0"/>
        <v>0</v>
      </c>
      <c r="H20" s="27">
        <f t="shared" si="1"/>
        <v>0</v>
      </c>
      <c r="I20" s="12"/>
      <c r="J20" s="12"/>
      <c r="K20" s="12"/>
    </row>
    <row r="21" spans="1:11" ht="15.75" x14ac:dyDescent="0.25">
      <c r="A21" s="155" t="s">
        <v>182</v>
      </c>
      <c r="B21" s="155"/>
      <c r="C21" s="156"/>
      <c r="D21" s="156"/>
      <c r="E21" s="157">
        <v>5.992</v>
      </c>
      <c r="F21" s="157"/>
      <c r="G21" s="26">
        <f t="shared" si="0"/>
        <v>0</v>
      </c>
      <c r="H21" s="27">
        <f t="shared" si="1"/>
        <v>0</v>
      </c>
      <c r="I21" s="12"/>
      <c r="J21" s="12"/>
      <c r="K21" s="12"/>
    </row>
    <row r="22" spans="1:11" ht="15.75" x14ac:dyDescent="0.25">
      <c r="A22" s="155" t="s">
        <v>183</v>
      </c>
      <c r="B22" s="155"/>
      <c r="C22" s="156"/>
      <c r="D22" s="156"/>
      <c r="E22" s="157">
        <v>5.992</v>
      </c>
      <c r="F22" s="157"/>
      <c r="G22" s="26">
        <f t="shared" si="0"/>
        <v>0</v>
      </c>
      <c r="H22" s="27">
        <f t="shared" si="1"/>
        <v>0</v>
      </c>
      <c r="I22" s="12"/>
      <c r="J22" s="12"/>
      <c r="K22" s="12"/>
    </row>
    <row r="23" spans="1:11" ht="15.75" x14ac:dyDescent="0.25">
      <c r="A23" s="155" t="s">
        <v>184</v>
      </c>
      <c r="B23" s="155"/>
      <c r="C23" s="156"/>
      <c r="D23" s="156"/>
      <c r="E23" s="157">
        <v>5.992</v>
      </c>
      <c r="F23" s="157"/>
      <c r="G23" s="26">
        <f t="shared" si="0"/>
        <v>0</v>
      </c>
      <c r="H23" s="27">
        <f t="shared" si="1"/>
        <v>0</v>
      </c>
      <c r="I23" s="12"/>
      <c r="J23" s="12"/>
      <c r="K23" s="12"/>
    </row>
    <row r="24" spans="1:11" ht="15.75" x14ac:dyDescent="0.25">
      <c r="A24" s="155" t="s">
        <v>185</v>
      </c>
      <c r="B24" s="155"/>
      <c r="C24" s="156">
        <v>93</v>
      </c>
      <c r="D24" s="156"/>
      <c r="E24" s="157">
        <v>1.1919999999999999</v>
      </c>
      <c r="F24" s="157"/>
      <c r="G24" s="26">
        <f t="shared" si="0"/>
        <v>110.85599999999999</v>
      </c>
      <c r="H24" s="27">
        <f t="shared" si="1"/>
        <v>612315</v>
      </c>
      <c r="I24" s="12"/>
      <c r="J24" s="12"/>
      <c r="K24" s="12"/>
    </row>
    <row r="25" spans="1:11" ht="15.75" x14ac:dyDescent="0.25">
      <c r="A25" s="155" t="s">
        <v>186</v>
      </c>
      <c r="B25" s="155"/>
      <c r="C25" s="156">
        <v>30</v>
      </c>
      <c r="D25" s="156"/>
      <c r="E25" s="157">
        <v>1.1919999999999999</v>
      </c>
      <c r="F25" s="157"/>
      <c r="G25" s="26">
        <f t="shared" si="0"/>
        <v>35.76</v>
      </c>
      <c r="H25" s="27">
        <f t="shared" si="1"/>
        <v>197521</v>
      </c>
      <c r="I25" s="12"/>
      <c r="J25" s="12"/>
      <c r="K25" s="12"/>
    </row>
    <row r="26" spans="1:11" ht="15.75" x14ac:dyDescent="0.25">
      <c r="A26" s="155" t="s">
        <v>187</v>
      </c>
      <c r="B26" s="155"/>
      <c r="C26" s="156"/>
      <c r="D26" s="156"/>
      <c r="E26" s="157">
        <v>1.1919999999999999</v>
      </c>
      <c r="F26" s="157"/>
      <c r="G26" s="26">
        <f t="shared" si="0"/>
        <v>0</v>
      </c>
      <c r="H26" s="27">
        <f t="shared" si="1"/>
        <v>0</v>
      </c>
      <c r="I26" s="12"/>
      <c r="J26" s="12"/>
      <c r="K26" s="12"/>
    </row>
    <row r="27" spans="1:11" ht="15.75" x14ac:dyDescent="0.25">
      <c r="A27" s="165" t="s">
        <v>188</v>
      </c>
      <c r="B27" s="165"/>
      <c r="C27" s="156"/>
      <c r="D27" s="156"/>
      <c r="E27" s="166">
        <v>1.079</v>
      </c>
      <c r="F27" s="166"/>
      <c r="G27" s="26">
        <f t="shared" si="0"/>
        <v>0</v>
      </c>
      <c r="H27" s="27">
        <f t="shared" si="1"/>
        <v>0</v>
      </c>
      <c r="I27" s="12"/>
      <c r="J27" s="12"/>
      <c r="K27" s="12"/>
    </row>
    <row r="28" spans="1:11" ht="15.75" x14ac:dyDescent="0.25">
      <c r="A28" s="167" t="s">
        <v>189</v>
      </c>
      <c r="B28" s="167"/>
      <c r="C28" s="168">
        <f>SUM(C12:C27)</f>
        <v>652</v>
      </c>
      <c r="D28" s="168"/>
      <c r="E28" s="169"/>
      <c r="F28" s="169"/>
      <c r="G28" s="28">
        <f>SUM(G12:G27)</f>
        <v>722.69799999999998</v>
      </c>
      <c r="H28" s="27">
        <f>SUM(H12:H27)</f>
        <v>3991833</v>
      </c>
      <c r="I28" s="12"/>
      <c r="J28" s="12"/>
      <c r="K28" s="12"/>
    </row>
    <row r="29" spans="1:11" ht="15.75" x14ac:dyDescent="0.25">
      <c r="A29" s="151" t="s">
        <v>190</v>
      </c>
      <c r="B29" s="151"/>
      <c r="C29" s="151"/>
      <c r="D29" s="151"/>
      <c r="E29" s="151"/>
      <c r="F29" s="151"/>
      <c r="G29" s="151"/>
      <c r="H29" s="29"/>
      <c r="I29" s="12"/>
      <c r="J29" s="12"/>
      <c r="K29" s="12"/>
    </row>
    <row r="30" spans="1:11" ht="47.25" x14ac:dyDescent="0.25">
      <c r="A30" s="112" t="s">
        <v>390</v>
      </c>
      <c r="B30" s="112"/>
      <c r="C30" s="172" t="s">
        <v>191</v>
      </c>
      <c r="D30" s="173"/>
      <c r="E30" s="173"/>
      <c r="F30" s="173"/>
      <c r="G30" s="173"/>
      <c r="H30" s="23" t="s">
        <v>391</v>
      </c>
      <c r="I30" s="12"/>
      <c r="J30" s="163"/>
      <c r="K30" s="163"/>
    </row>
    <row r="31" spans="1:11" ht="15.75" x14ac:dyDescent="0.25">
      <c r="A31" s="161" t="s">
        <v>192</v>
      </c>
      <c r="B31" s="161"/>
      <c r="C31" s="164"/>
      <c r="D31" s="164"/>
      <c r="E31" s="164"/>
      <c r="F31" s="164"/>
      <c r="G31" s="164"/>
      <c r="H31" s="118">
        <f>ROUND(ROUND(ROUND(C31*$C$6,4)*($G$6),0)*(MAX($G$7,1)),0)</f>
        <v>0</v>
      </c>
      <c r="I31" s="12"/>
      <c r="J31" s="12"/>
      <c r="K31" s="12"/>
    </row>
    <row r="32" spans="1:11" ht="15.75" x14ac:dyDescent="0.25">
      <c r="A32" s="155" t="s">
        <v>193</v>
      </c>
      <c r="B32" s="155"/>
      <c r="C32" s="164"/>
      <c r="D32" s="164"/>
      <c r="E32" s="164"/>
      <c r="F32" s="164"/>
      <c r="G32" s="164"/>
      <c r="H32" s="118">
        <f t="shared" ref="H32:H37" si="2">ROUND(ROUND(ROUND(C32*$C$6,4)*($G$6),0)*(MAX($G$7,1)),0)</f>
        <v>0</v>
      </c>
      <c r="I32" s="12"/>
      <c r="J32" s="12"/>
      <c r="K32" s="12"/>
    </row>
    <row r="33" spans="1:11" ht="15.75" x14ac:dyDescent="0.25">
      <c r="A33" s="170" t="s">
        <v>194</v>
      </c>
      <c r="B33" s="170"/>
      <c r="C33" s="171"/>
      <c r="D33" s="171"/>
      <c r="E33" s="171"/>
      <c r="F33" s="171"/>
      <c r="G33" s="171"/>
      <c r="H33" s="118">
        <f t="shared" si="2"/>
        <v>0</v>
      </c>
      <c r="I33" s="12"/>
      <c r="J33" s="12"/>
      <c r="K33" s="12"/>
    </row>
    <row r="34" spans="1:11" ht="15.75" x14ac:dyDescent="0.25">
      <c r="A34" s="47" t="s">
        <v>195</v>
      </c>
      <c r="B34" s="47"/>
      <c r="C34" s="164"/>
      <c r="D34" s="164"/>
      <c r="E34" s="164"/>
      <c r="F34" s="164"/>
      <c r="G34" s="164"/>
      <c r="H34" s="118">
        <f t="shared" si="2"/>
        <v>0</v>
      </c>
      <c r="I34" s="12"/>
      <c r="J34" s="12"/>
      <c r="K34" s="12"/>
    </row>
    <row r="35" spans="1:11" ht="15.75" x14ac:dyDescent="0.25">
      <c r="A35" s="155" t="s">
        <v>196</v>
      </c>
      <c r="B35" s="155"/>
      <c r="C35" s="164"/>
      <c r="D35" s="164"/>
      <c r="E35" s="164"/>
      <c r="F35" s="164"/>
      <c r="G35" s="164"/>
      <c r="H35" s="118">
        <f t="shared" si="2"/>
        <v>0</v>
      </c>
      <c r="I35" s="12"/>
      <c r="J35" s="12"/>
      <c r="K35" s="12"/>
    </row>
    <row r="36" spans="1:11" ht="15.75" x14ac:dyDescent="0.25">
      <c r="A36" s="155" t="s">
        <v>197</v>
      </c>
      <c r="B36" s="155"/>
      <c r="C36" s="164"/>
      <c r="D36" s="164"/>
      <c r="E36" s="164"/>
      <c r="F36" s="164"/>
      <c r="G36" s="164"/>
      <c r="H36" s="118">
        <f t="shared" si="2"/>
        <v>0</v>
      </c>
      <c r="I36" s="12"/>
      <c r="J36" s="12"/>
      <c r="K36" s="12"/>
    </row>
    <row r="37" spans="1:11" ht="15.75" x14ac:dyDescent="0.25">
      <c r="A37" s="165" t="s">
        <v>198</v>
      </c>
      <c r="B37" s="165"/>
      <c r="C37" s="164"/>
      <c r="D37" s="164"/>
      <c r="E37" s="164"/>
      <c r="F37" s="164"/>
      <c r="G37" s="164"/>
      <c r="H37" s="118">
        <f t="shared" si="2"/>
        <v>0</v>
      </c>
      <c r="I37" s="12"/>
      <c r="J37" s="12"/>
      <c r="K37" s="12"/>
    </row>
    <row r="38" spans="1:11" ht="16.5" thickBot="1" x14ac:dyDescent="0.3">
      <c r="A38" s="178" t="s">
        <v>199</v>
      </c>
      <c r="B38" s="178"/>
      <c r="C38" s="178"/>
      <c r="D38" s="178"/>
      <c r="E38" s="30">
        <f>SUM(C31:E37)</f>
        <v>0</v>
      </c>
      <c r="F38" s="169" t="s">
        <v>200</v>
      </c>
      <c r="G38" s="169"/>
      <c r="H38" s="119">
        <f>SUM(H31:H37)</f>
        <v>0</v>
      </c>
      <c r="I38" s="12"/>
      <c r="J38" s="12"/>
      <c r="K38" s="12"/>
    </row>
    <row r="39" spans="1:11" ht="16.5" thickBot="1" x14ac:dyDescent="0.3">
      <c r="A39" s="178" t="s">
        <v>201</v>
      </c>
      <c r="B39" s="178"/>
      <c r="C39" s="178"/>
      <c r="D39" s="178"/>
      <c r="E39" s="32">
        <f>E38+G28</f>
        <v>722.69799999999998</v>
      </c>
      <c r="F39" s="169" t="s">
        <v>202</v>
      </c>
      <c r="G39" s="169"/>
      <c r="H39" s="33">
        <f>SUM(H38,H28)</f>
        <v>3991833</v>
      </c>
      <c r="I39" s="12"/>
      <c r="J39" s="12"/>
      <c r="K39" s="12"/>
    </row>
    <row r="40" spans="1:11" ht="15.75" x14ac:dyDescent="0.25">
      <c r="A40" s="55"/>
      <c r="B40" s="55"/>
      <c r="C40" s="55"/>
      <c r="D40" s="55"/>
      <c r="E40" s="32"/>
      <c r="F40" s="113"/>
      <c r="G40" s="113"/>
      <c r="H40" s="31"/>
      <c r="I40" s="12"/>
      <c r="J40" s="12"/>
      <c r="K40" s="12"/>
    </row>
    <row r="41" spans="1:11" ht="15.75" x14ac:dyDescent="0.25">
      <c r="A41" s="174" t="s">
        <v>392</v>
      </c>
      <c r="B41" s="175"/>
      <c r="C41" s="175"/>
      <c r="D41" s="175"/>
      <c r="E41" s="51"/>
      <c r="F41" s="12"/>
      <c r="G41" s="12"/>
      <c r="H41" s="54"/>
      <c r="I41" s="12"/>
      <c r="J41" s="12"/>
      <c r="K41" s="12"/>
    </row>
    <row r="42" spans="1:11" ht="18.75" x14ac:dyDescent="0.25">
      <c r="A42" s="155" t="s">
        <v>393</v>
      </c>
      <c r="B42" s="155"/>
      <c r="C42" s="155"/>
      <c r="D42" s="51" t="s">
        <v>394</v>
      </c>
      <c r="E42" s="120">
        <f>H39</f>
        <v>3991833</v>
      </c>
      <c r="F42" s="37" t="s">
        <v>221</v>
      </c>
      <c r="G42" s="121">
        <v>5.5899999999999998E-2</v>
      </c>
      <c r="H42" s="122">
        <f>ROUND(E42*G42,0)</f>
        <v>223143</v>
      </c>
      <c r="I42" s="123"/>
      <c r="J42" s="55"/>
      <c r="K42" s="55"/>
    </row>
    <row r="43" spans="1:11" ht="18.75" x14ac:dyDescent="0.25">
      <c r="A43" s="155" t="s">
        <v>395</v>
      </c>
      <c r="B43" s="155"/>
      <c r="C43" s="155"/>
      <c r="D43" s="51" t="s">
        <v>394</v>
      </c>
      <c r="E43" s="120">
        <f>H39</f>
        <v>3991833</v>
      </c>
      <c r="F43" s="37" t="s">
        <v>221</v>
      </c>
      <c r="G43" s="121">
        <v>1.0699999999999999E-2</v>
      </c>
      <c r="H43" s="122">
        <f>ROUND(E43*G43,0)</f>
        <v>42713</v>
      </c>
      <c r="I43" s="123"/>
      <c r="J43" s="55"/>
      <c r="K43" s="55"/>
    </row>
    <row r="44" spans="1:11" ht="18.75" x14ac:dyDescent="0.25">
      <c r="A44" s="175" t="s">
        <v>396</v>
      </c>
      <c r="B44" s="175"/>
      <c r="C44" s="175"/>
      <c r="D44" s="51" t="s">
        <v>397</v>
      </c>
      <c r="E44" s="124"/>
      <c r="F44" s="37"/>
      <c r="G44" s="53"/>
      <c r="H44" s="122">
        <f>H42+H43</f>
        <v>265856</v>
      </c>
      <c r="I44" s="123"/>
      <c r="J44" s="55"/>
      <c r="K44" s="55"/>
    </row>
    <row r="45" spans="1:11" ht="18.75" x14ac:dyDescent="0.25">
      <c r="A45" s="72"/>
      <c r="B45" s="72"/>
      <c r="C45" s="72"/>
      <c r="D45" s="51"/>
      <c r="E45" s="124"/>
      <c r="F45" s="37"/>
      <c r="G45" s="53"/>
      <c r="H45" s="125"/>
      <c r="I45" s="123"/>
      <c r="J45" s="55"/>
      <c r="K45" s="55"/>
    </row>
    <row r="46" spans="1:11" ht="31.5" x14ac:dyDescent="0.25">
      <c r="A46" s="176" t="s">
        <v>203</v>
      </c>
      <c r="B46" s="176"/>
      <c r="C46" s="177" t="s">
        <v>204</v>
      </c>
      <c r="D46" s="177"/>
      <c r="E46" s="34" t="s">
        <v>205</v>
      </c>
      <c r="F46" s="35" t="s">
        <v>206</v>
      </c>
      <c r="G46" s="36" t="s">
        <v>207</v>
      </c>
      <c r="H46" s="34"/>
      <c r="I46" s="123"/>
      <c r="J46" s="55"/>
      <c r="K46" s="55"/>
    </row>
    <row r="47" spans="1:11" ht="15.75" x14ac:dyDescent="0.25">
      <c r="A47" s="182" t="s">
        <v>208</v>
      </c>
      <c r="B47" s="182"/>
      <c r="C47" s="184">
        <f>C13</f>
        <v>57</v>
      </c>
      <c r="D47" s="184"/>
      <c r="E47" s="37" t="s">
        <v>209</v>
      </c>
      <c r="F47" s="37">
        <v>251</v>
      </c>
      <c r="G47" s="38">
        <f>INDEX('[1]111-112-113 ADDITIONAL FUND'!D$1:D$65536,MATCH($A$1,'[1]111-112-113 ADDITIONAL FUND'!A$1:A$65536))</f>
        <v>1028</v>
      </c>
      <c r="H47" s="39">
        <f>ROUND(C47*G47,0)</f>
        <v>58596</v>
      </c>
      <c r="I47" s="12"/>
      <c r="J47" s="44"/>
      <c r="K47" s="12"/>
    </row>
    <row r="48" spans="1:11" ht="15.75" x14ac:dyDescent="0.25">
      <c r="A48" s="183"/>
      <c r="B48" s="183"/>
      <c r="C48" s="185"/>
      <c r="D48" s="185"/>
      <c r="E48" s="37" t="s">
        <v>209</v>
      </c>
      <c r="F48" s="37">
        <v>252</v>
      </c>
      <c r="G48" s="38">
        <f>INDEX('[1]111-112-113 ADDITIONAL FUND'!E$1:E$65536,MATCH($A$1,'[1]111-112-113 ADDITIONAL FUND'!A$1:A$65536))</f>
        <v>3318</v>
      </c>
      <c r="H48" s="39">
        <f t="shared" ref="H48:H55" si="3">ROUND(C48*G48,0)</f>
        <v>0</v>
      </c>
      <c r="I48" s="12"/>
      <c r="J48" s="12"/>
      <c r="K48" s="12"/>
    </row>
    <row r="49" spans="1:11" ht="15.75" x14ac:dyDescent="0.25">
      <c r="A49" s="183"/>
      <c r="B49" s="183"/>
      <c r="C49" s="185"/>
      <c r="D49" s="185"/>
      <c r="E49" s="37" t="s">
        <v>209</v>
      </c>
      <c r="F49" s="37">
        <v>253</v>
      </c>
      <c r="G49" s="38">
        <f>INDEX('[1]111-112-113 ADDITIONAL FUND'!F$1:F$65536,MATCH($A$1,'[1]111-112-113 ADDITIONAL FUND'!A$1:A$65536))</f>
        <v>6771</v>
      </c>
      <c r="H49" s="39">
        <f t="shared" si="3"/>
        <v>0</v>
      </c>
      <c r="I49" s="12"/>
      <c r="J49" s="12"/>
      <c r="K49" s="12"/>
    </row>
    <row r="50" spans="1:11" ht="15.75" x14ac:dyDescent="0.25">
      <c r="A50" s="183"/>
      <c r="B50" s="183"/>
      <c r="C50" s="185"/>
      <c r="D50" s="185"/>
      <c r="E50" s="40" t="s">
        <v>210</v>
      </c>
      <c r="F50" s="37">
        <v>251</v>
      </c>
      <c r="G50" s="38">
        <f>INDEX('[1]111-112-113 ADDITIONAL FUND'!G$1:G$65536,MATCH($A$1,'[1]111-112-113 ADDITIONAL FUND'!A$1:A$65536))</f>
        <v>1152</v>
      </c>
      <c r="H50" s="39">
        <f t="shared" si="3"/>
        <v>0</v>
      </c>
      <c r="I50" s="12"/>
      <c r="J50" s="44"/>
      <c r="K50" s="12"/>
    </row>
    <row r="51" spans="1:11" ht="15.75" x14ac:dyDescent="0.25">
      <c r="A51" s="183"/>
      <c r="B51" s="183"/>
      <c r="C51" s="185"/>
      <c r="D51" s="185"/>
      <c r="E51" s="40" t="s">
        <v>210</v>
      </c>
      <c r="F51" s="37">
        <v>252</v>
      </c>
      <c r="G51" s="38">
        <f>INDEX('[1]111-112-113 ADDITIONAL FUND'!H$1:H$65536,MATCH($A$1,'[1]111-112-113 ADDITIONAL FUND'!A$1:A$65536))</f>
        <v>3442</v>
      </c>
      <c r="H51" s="39">
        <f t="shared" si="3"/>
        <v>0</v>
      </c>
      <c r="I51" s="12"/>
      <c r="J51" s="12"/>
      <c r="K51" s="12"/>
    </row>
    <row r="52" spans="1:11" ht="15.75" x14ac:dyDescent="0.25">
      <c r="A52" s="183"/>
      <c r="B52" s="183"/>
      <c r="C52" s="185"/>
      <c r="D52" s="185"/>
      <c r="E52" s="40" t="s">
        <v>210</v>
      </c>
      <c r="F52" s="37">
        <v>253</v>
      </c>
      <c r="G52" s="38">
        <f>INDEX('[1]111-112-113 ADDITIONAL FUND'!I$1:I$65536,MATCH($A$1,'[1]111-112-113 ADDITIONAL FUND'!A$1:A$65536))</f>
        <v>6895</v>
      </c>
      <c r="H52" s="39">
        <f t="shared" si="3"/>
        <v>0</v>
      </c>
      <c r="I52" s="12"/>
      <c r="J52" s="12"/>
      <c r="K52" s="12"/>
    </row>
    <row r="53" spans="1:11" ht="15.75" x14ac:dyDescent="0.25">
      <c r="A53" s="183"/>
      <c r="B53" s="183"/>
      <c r="C53" s="185"/>
      <c r="D53" s="185"/>
      <c r="E53" s="40" t="s">
        <v>211</v>
      </c>
      <c r="F53" s="37">
        <v>251</v>
      </c>
      <c r="G53" s="38">
        <f>INDEX('[1]111-112-113 ADDITIONAL FUND'!J$1:J$65536,MATCH($A$1,'[1]111-112-113 ADDITIONAL FUND'!A$1:A$65536))</f>
        <v>820</v>
      </c>
      <c r="H53" s="39">
        <f t="shared" si="3"/>
        <v>0</v>
      </c>
      <c r="I53" s="12"/>
      <c r="J53" s="12"/>
      <c r="K53" s="12"/>
    </row>
    <row r="54" spans="1:11" ht="15.75" x14ac:dyDescent="0.25">
      <c r="A54" s="183"/>
      <c r="B54" s="183"/>
      <c r="C54" s="185"/>
      <c r="D54" s="185"/>
      <c r="E54" s="40" t="s">
        <v>211</v>
      </c>
      <c r="F54" s="37">
        <v>252</v>
      </c>
      <c r="G54" s="38">
        <f>INDEX('[1]111-112-113 ADDITIONAL FUND'!K$1:K$65536,MATCH($A$1,'[1]111-112-113 ADDITIONAL FUND'!A$1:A$65536))</f>
        <v>3110</v>
      </c>
      <c r="H54" s="39">
        <f t="shared" si="3"/>
        <v>0</v>
      </c>
      <c r="I54" s="12"/>
      <c r="J54" s="12"/>
      <c r="K54" s="12"/>
    </row>
    <row r="55" spans="1:11" ht="16.5" thickBot="1" x14ac:dyDescent="0.3">
      <c r="A55" s="183"/>
      <c r="B55" s="183"/>
      <c r="C55" s="186"/>
      <c r="D55" s="186"/>
      <c r="E55" s="40" t="s">
        <v>211</v>
      </c>
      <c r="F55" s="37">
        <v>253</v>
      </c>
      <c r="G55" s="38">
        <f>INDEX('[1]111-112-113 ADDITIONAL FUND'!L$1:L$65536,MATCH($A$1,'[1]111-112-113 ADDITIONAL FUND'!A$1:A$65536))</f>
        <v>6563</v>
      </c>
      <c r="H55" s="41">
        <f t="shared" si="3"/>
        <v>0</v>
      </c>
      <c r="I55" s="12"/>
      <c r="J55" s="12"/>
      <c r="K55" s="12"/>
    </row>
    <row r="56" spans="1:11" ht="16.5" thickBot="1" x14ac:dyDescent="0.3">
      <c r="A56" s="178" t="s">
        <v>212</v>
      </c>
      <c r="B56" s="178"/>
      <c r="C56" s="179">
        <f>SUM(C47:C55)</f>
        <v>57</v>
      </c>
      <c r="D56" s="179"/>
      <c r="E56" s="178" t="s">
        <v>213</v>
      </c>
      <c r="F56" s="178"/>
      <c r="G56" s="178"/>
      <c r="H56" s="33">
        <f>SUM(H47:H55)</f>
        <v>58596</v>
      </c>
      <c r="I56" s="12"/>
      <c r="J56" s="12"/>
      <c r="K56" s="12"/>
    </row>
    <row r="57" spans="1:11" ht="15.75" x14ac:dyDescent="0.25">
      <c r="A57" s="55"/>
      <c r="B57" s="55"/>
      <c r="C57" s="113"/>
      <c r="D57" s="113"/>
      <c r="E57" s="55"/>
      <c r="F57" s="55"/>
      <c r="G57" s="55"/>
      <c r="H57" s="31"/>
      <c r="I57" s="12"/>
      <c r="J57" s="12"/>
      <c r="K57" s="12"/>
    </row>
    <row r="58" spans="1:11" ht="15.75" x14ac:dyDescent="0.25">
      <c r="A58" s="175" t="s">
        <v>398</v>
      </c>
      <c r="B58" s="175"/>
      <c r="C58" s="175"/>
      <c r="D58" s="175"/>
      <c r="E58" s="175"/>
      <c r="F58" s="175"/>
      <c r="G58" s="175"/>
      <c r="H58" s="175"/>
      <c r="I58" s="12"/>
      <c r="J58" s="12"/>
      <c r="K58" s="12"/>
    </row>
    <row r="59" spans="1:11" ht="15.75" x14ac:dyDescent="0.25">
      <c r="A59" s="180" t="s">
        <v>214</v>
      </c>
      <c r="B59" s="180"/>
      <c r="C59" s="42">
        <f>C28</f>
        <v>652</v>
      </c>
      <c r="D59" s="43" t="s">
        <v>215</v>
      </c>
      <c r="E59" s="44"/>
      <c r="F59" s="45" t="s">
        <v>216</v>
      </c>
      <c r="G59" s="181">
        <f>INDEX('[1]Detail 2024-25 FEFP Conference'!E$1:E$65536,MATCH(A1,'[1]Detail 2024-25 FEFP Conference'!A$1:A$65536))</f>
        <v>48660.24</v>
      </c>
      <c r="H59" s="181"/>
      <c r="I59" s="12"/>
      <c r="J59" s="12"/>
      <c r="K59" s="12"/>
    </row>
    <row r="60" spans="1:11" ht="15.75" x14ac:dyDescent="0.25">
      <c r="A60" s="46"/>
      <c r="B60" s="47"/>
      <c r="C60" s="12"/>
      <c r="D60" s="12"/>
      <c r="E60" s="12"/>
      <c r="F60" s="48" t="s">
        <v>217</v>
      </c>
      <c r="G60" s="188">
        <f>IFERROR(ROUND(C59/G59,6),0)</f>
        <v>1.3398999999999999E-2</v>
      </c>
      <c r="H60" s="188"/>
      <c r="I60" s="12"/>
      <c r="J60" s="12"/>
      <c r="K60" s="12"/>
    </row>
    <row r="61" spans="1:11" ht="15.75" x14ac:dyDescent="0.25">
      <c r="A61" s="175" t="s">
        <v>399</v>
      </c>
      <c r="B61" s="175"/>
      <c r="C61" s="175"/>
      <c r="D61" s="175"/>
      <c r="E61" s="175"/>
      <c r="F61" s="175"/>
      <c r="G61" s="175"/>
      <c r="H61" s="175"/>
      <c r="I61" s="12"/>
      <c r="J61" s="12"/>
      <c r="K61" s="12"/>
    </row>
    <row r="62" spans="1:11" ht="15.75" x14ac:dyDescent="0.25">
      <c r="A62" s="180" t="s">
        <v>218</v>
      </c>
      <c r="B62" s="180"/>
      <c r="C62" s="42">
        <f>E39</f>
        <v>722.69799999999998</v>
      </c>
      <c r="D62" s="43" t="s">
        <v>215</v>
      </c>
      <c r="E62" s="44"/>
      <c r="F62" s="45" t="s">
        <v>219</v>
      </c>
      <c r="G62" s="181">
        <v>52902.82</v>
      </c>
      <c r="H62" s="181"/>
      <c r="I62" s="12"/>
      <c r="J62" s="12"/>
      <c r="K62" s="12"/>
    </row>
    <row r="63" spans="1:11" ht="15.75" x14ac:dyDescent="0.25">
      <c r="A63" s="46"/>
      <c r="B63" s="12"/>
      <c r="C63" s="12"/>
      <c r="D63" s="12"/>
      <c r="E63" s="12"/>
      <c r="F63" s="48" t="s">
        <v>217</v>
      </c>
      <c r="G63" s="188">
        <f>IFERROR(ROUND(C62/G62,6),0)</f>
        <v>1.3661E-2</v>
      </c>
      <c r="H63" s="188"/>
      <c r="I63" s="12"/>
      <c r="J63" s="12"/>
      <c r="K63" s="12"/>
    </row>
    <row r="64" spans="1:11" ht="15.75" x14ac:dyDescent="0.25">
      <c r="A64" s="175" t="s">
        <v>400</v>
      </c>
      <c r="B64" s="175"/>
      <c r="C64" s="175"/>
      <c r="D64" s="175"/>
      <c r="E64" s="175"/>
      <c r="F64" s="175"/>
      <c r="G64" s="175"/>
      <c r="H64" s="175"/>
      <c r="I64" s="12"/>
      <c r="J64" s="12"/>
      <c r="K64" s="12"/>
    </row>
    <row r="65" spans="1:11" ht="15.75" x14ac:dyDescent="0.25">
      <c r="A65" s="180" t="s">
        <v>401</v>
      </c>
      <c r="B65" s="180"/>
      <c r="C65" s="42">
        <f>C28</f>
        <v>652</v>
      </c>
      <c r="D65" s="43" t="s">
        <v>215</v>
      </c>
      <c r="E65" s="187" t="s">
        <v>402</v>
      </c>
      <c r="F65" s="187"/>
      <c r="G65" s="181">
        <v>48660.24</v>
      </c>
      <c r="H65" s="181"/>
      <c r="I65" s="12"/>
      <c r="J65" s="12"/>
      <c r="K65" s="12"/>
    </row>
    <row r="66" spans="1:11" ht="15.75" x14ac:dyDescent="0.25">
      <c r="A66" s="46"/>
      <c r="B66" s="12"/>
      <c r="C66" s="12"/>
      <c r="D66" s="12"/>
      <c r="E66" s="12"/>
      <c r="F66" s="48" t="s">
        <v>217</v>
      </c>
      <c r="G66" s="188">
        <f>IFERROR(ROUND(C65/G65,6),0)</f>
        <v>1.3398999999999999E-2</v>
      </c>
      <c r="H66" s="188"/>
      <c r="I66" s="12"/>
      <c r="J66" s="12"/>
      <c r="K66" s="12"/>
    </row>
    <row r="67" spans="1:11" ht="15.75" x14ac:dyDescent="0.25">
      <c r="A67" s="175" t="s">
        <v>403</v>
      </c>
      <c r="B67" s="175"/>
      <c r="C67" s="175"/>
      <c r="D67" s="175"/>
      <c r="E67" s="175"/>
      <c r="F67" s="175"/>
      <c r="G67" s="175"/>
      <c r="H67" s="175"/>
      <c r="I67" s="12"/>
      <c r="J67" s="12"/>
      <c r="K67" s="12"/>
    </row>
    <row r="68" spans="1:11" ht="15.75" x14ac:dyDescent="0.25">
      <c r="A68" s="180" t="s">
        <v>401</v>
      </c>
      <c r="B68" s="180"/>
      <c r="C68" s="42">
        <f>C28</f>
        <v>652</v>
      </c>
      <c r="D68" s="43" t="s">
        <v>215</v>
      </c>
      <c r="E68" s="187" t="s">
        <v>404</v>
      </c>
      <c r="F68" s="187"/>
      <c r="G68" s="181">
        <f>INDEX('[1]Detail 2024-25 FEFP Conference'!G$1:G$65536,MATCH(A1,'[1]Detail 2024-25 FEFP Conference'!A$1:A$65536))</f>
        <v>48480.52</v>
      </c>
      <c r="H68" s="181"/>
      <c r="I68" s="12"/>
      <c r="J68" s="12"/>
      <c r="K68" s="12"/>
    </row>
    <row r="69" spans="1:11" ht="15.75" x14ac:dyDescent="0.25">
      <c r="A69" s="46"/>
      <c r="B69" s="12"/>
      <c r="C69" s="12"/>
      <c r="D69" s="12"/>
      <c r="E69" s="12"/>
      <c r="F69" s="48" t="s">
        <v>217</v>
      </c>
      <c r="G69" s="188">
        <f>IFERROR(ROUND(C68/G68,6),0)</f>
        <v>1.3448999999999999E-2</v>
      </c>
      <c r="H69" s="188"/>
      <c r="I69" s="12"/>
      <c r="J69" s="126"/>
      <c r="K69" s="127"/>
    </row>
    <row r="70" spans="1:11" ht="15.75" x14ac:dyDescent="0.25">
      <c r="A70" s="175" t="s">
        <v>405</v>
      </c>
      <c r="B70" s="175"/>
      <c r="C70" s="175"/>
      <c r="D70" s="175"/>
      <c r="E70" s="175"/>
      <c r="F70" s="175"/>
      <c r="G70" s="175"/>
      <c r="H70" s="175"/>
      <c r="I70" s="12"/>
      <c r="J70" s="12"/>
      <c r="K70" s="12"/>
    </row>
    <row r="71" spans="1:11" ht="15.75" x14ac:dyDescent="0.25">
      <c r="A71" s="180" t="s">
        <v>401</v>
      </c>
      <c r="B71" s="180"/>
      <c r="C71" s="42">
        <f>C28</f>
        <v>652</v>
      </c>
      <c r="D71" s="43" t="s">
        <v>215</v>
      </c>
      <c r="E71" s="187" t="s">
        <v>406</v>
      </c>
      <c r="F71" s="187"/>
      <c r="G71" s="181">
        <f>INDEX('[1]Detail 2024-25 FEFP Conference'!I$1:I$65536,MATCH(A1,'[1]Detail 2024-25 FEFP Conference'!A$1:A$65536))</f>
        <v>44750.77</v>
      </c>
      <c r="H71" s="181"/>
      <c r="I71" s="12"/>
      <c r="J71" s="12"/>
      <c r="K71" s="12"/>
    </row>
    <row r="72" spans="1:11" ht="15.75" x14ac:dyDescent="0.25">
      <c r="A72" s="46"/>
      <c r="B72" s="12"/>
      <c r="C72" s="12"/>
      <c r="D72" s="12"/>
      <c r="E72" s="12"/>
      <c r="F72" s="48" t="s">
        <v>217</v>
      </c>
      <c r="G72" s="188">
        <f>IFERROR(ROUND(C71/G71,6),0)</f>
        <v>1.457E-2</v>
      </c>
      <c r="H72" s="188"/>
      <c r="I72" s="12"/>
      <c r="J72" s="12"/>
      <c r="K72" s="12"/>
    </row>
    <row r="73" spans="1:11" ht="15.75" x14ac:dyDescent="0.25">
      <c r="A73" s="49"/>
      <c r="B73" s="34"/>
      <c r="C73" s="34"/>
      <c r="D73" s="34"/>
      <c r="E73" s="34"/>
      <c r="F73" s="50"/>
      <c r="G73" s="114"/>
      <c r="H73" s="114"/>
      <c r="I73" s="12"/>
      <c r="J73" s="12"/>
      <c r="K73" s="12"/>
    </row>
    <row r="74" spans="1:11" ht="15.75" x14ac:dyDescent="0.25">
      <c r="A74" s="189" t="s">
        <v>407</v>
      </c>
      <c r="B74" s="189"/>
      <c r="C74" s="189"/>
      <c r="D74" s="51" t="s">
        <v>224</v>
      </c>
      <c r="E74" s="128">
        <v>9843000</v>
      </c>
      <c r="F74" s="37" t="s">
        <v>221</v>
      </c>
      <c r="G74" s="53">
        <f>G69</f>
        <v>1.3448999999999999E-2</v>
      </c>
      <c r="H74" s="129">
        <f>ROUND(E74*G74,0)</f>
        <v>132379</v>
      </c>
      <c r="I74" s="12"/>
      <c r="J74" s="12"/>
      <c r="K74" s="12"/>
    </row>
    <row r="75" spans="1:11" ht="15.75" x14ac:dyDescent="0.25">
      <c r="A75" s="174" t="s">
        <v>222</v>
      </c>
      <c r="B75" s="174"/>
      <c r="C75" s="72"/>
      <c r="D75" s="51"/>
      <c r="E75" s="130"/>
      <c r="F75" s="37"/>
      <c r="G75" s="53"/>
      <c r="H75" s="129"/>
      <c r="I75" s="12"/>
      <c r="J75" s="12"/>
      <c r="K75" s="12"/>
    </row>
    <row r="76" spans="1:11" ht="15.75" x14ac:dyDescent="0.25">
      <c r="A76" s="190" t="s">
        <v>223</v>
      </c>
      <c r="B76" s="190"/>
      <c r="C76" s="190"/>
      <c r="D76" s="51" t="s">
        <v>220</v>
      </c>
      <c r="E76" s="128">
        <f>INDEX('[1]Detail 2024-25 FEFP Conference'!K$1:K$65536,MATCH(A1,'[1]Detail 2024-25 FEFP Conference'!A$1:A$65536))</f>
        <v>0</v>
      </c>
      <c r="F76" s="37" t="s">
        <v>221</v>
      </c>
      <c r="G76" s="53">
        <f>G60</f>
        <v>1.3398999999999999E-2</v>
      </c>
      <c r="H76" s="129">
        <f>ROUND(E76*G76,0)</f>
        <v>0</v>
      </c>
      <c r="I76" s="12"/>
      <c r="J76" s="12"/>
      <c r="K76" s="12"/>
    </row>
    <row r="77" spans="1:11" ht="15.75" x14ac:dyDescent="0.25">
      <c r="A77" s="175" t="s">
        <v>408</v>
      </c>
      <c r="B77" s="175"/>
      <c r="C77" s="175"/>
      <c r="D77" s="51" t="s">
        <v>226</v>
      </c>
      <c r="E77" s="128"/>
      <c r="F77" s="37" t="s">
        <v>221</v>
      </c>
      <c r="G77" s="53">
        <f>G72</f>
        <v>1.457E-2</v>
      </c>
      <c r="H77" s="129">
        <f>ROUND(E77*G77,0)</f>
        <v>0</v>
      </c>
      <c r="I77" s="12"/>
      <c r="J77" s="12"/>
      <c r="K77" s="12"/>
    </row>
    <row r="78" spans="1:11" ht="15.75" x14ac:dyDescent="0.25">
      <c r="A78" s="72" t="s">
        <v>409</v>
      </c>
      <c r="B78" s="72"/>
      <c r="C78" s="72"/>
      <c r="D78" s="51" t="s">
        <v>220</v>
      </c>
      <c r="E78" s="128"/>
      <c r="F78" s="37" t="s">
        <v>221</v>
      </c>
      <c r="G78" s="53">
        <f>G66</f>
        <v>1.3398999999999999E-2</v>
      </c>
      <c r="H78" s="129">
        <f>ROUND(E78*G78,0)</f>
        <v>0</v>
      </c>
      <c r="I78" s="12"/>
      <c r="J78" s="12"/>
      <c r="K78" s="12"/>
    </row>
    <row r="79" spans="1:11" ht="15.75" x14ac:dyDescent="0.25">
      <c r="A79" s="175" t="s">
        <v>410</v>
      </c>
      <c r="B79" s="175"/>
      <c r="C79" s="175"/>
      <c r="D79" s="51" t="s">
        <v>225</v>
      </c>
      <c r="E79" s="54">
        <v>81853388</v>
      </c>
      <c r="F79" s="37" t="s">
        <v>221</v>
      </c>
      <c r="G79" s="53">
        <f>G63</f>
        <v>1.3661E-2</v>
      </c>
      <c r="H79" s="129">
        <f>ROUND(E79*G79,0)</f>
        <v>1118199</v>
      </c>
      <c r="I79" s="12"/>
      <c r="J79" s="131"/>
      <c r="K79" s="12"/>
    </row>
    <row r="80" spans="1:11" ht="15.75" x14ac:dyDescent="0.25">
      <c r="A80" s="175" t="s">
        <v>411</v>
      </c>
      <c r="B80" s="175"/>
      <c r="C80" s="175"/>
      <c r="D80" s="51" t="s">
        <v>225</v>
      </c>
      <c r="E80" s="52">
        <f>INDEX('[1]Detail 2024-25 FEFP Conference'!P$1:P$65536,MATCH(A1,'[1]Detail 2024-25 FEFP Conference'!A$1:A$65536))</f>
        <v>0</v>
      </c>
      <c r="F80" s="37" t="s">
        <v>221</v>
      </c>
      <c r="G80" s="53">
        <f>G63</f>
        <v>1.3661E-2</v>
      </c>
      <c r="H80" s="129"/>
      <c r="I80" s="12"/>
      <c r="J80" s="132"/>
      <c r="K80" s="12"/>
    </row>
    <row r="81" spans="1:11" ht="15.75" x14ac:dyDescent="0.25">
      <c r="A81" s="175" t="s">
        <v>412</v>
      </c>
      <c r="B81" s="175"/>
      <c r="C81" s="175"/>
      <c r="D81" s="51" t="s">
        <v>220</v>
      </c>
      <c r="E81" s="52">
        <f>INDEX('[1]Detail 2024-25 FEFP Conference'!Q$1:Q$65536,MATCH(A1,'[1]Detail 2024-25 FEFP Conference'!A$1:A$65536))</f>
        <v>0</v>
      </c>
      <c r="F81" s="37" t="s">
        <v>221</v>
      </c>
      <c r="G81" s="53">
        <f>G60</f>
        <v>1.3398999999999999E-2</v>
      </c>
      <c r="H81" s="129"/>
      <c r="I81" s="12"/>
      <c r="J81" s="132"/>
      <c r="K81" s="12"/>
    </row>
    <row r="82" spans="1:11" ht="15.75" x14ac:dyDescent="0.25">
      <c r="A82" s="175" t="s">
        <v>413</v>
      </c>
      <c r="B82" s="175"/>
      <c r="C82" s="175"/>
      <c r="D82" s="175"/>
      <c r="E82" s="175"/>
      <c r="F82" s="175"/>
      <c r="G82" s="175"/>
      <c r="H82" s="175"/>
      <c r="I82" s="75"/>
      <c r="J82" s="75"/>
      <c r="K82" s="133"/>
    </row>
    <row r="83" spans="1:11" ht="15.75" x14ac:dyDescent="0.25">
      <c r="A83" s="196" t="s">
        <v>227</v>
      </c>
      <c r="B83" s="196"/>
      <c r="C83" s="151" t="s">
        <v>414</v>
      </c>
      <c r="D83" s="197"/>
      <c r="E83" s="198" t="s">
        <v>228</v>
      </c>
      <c r="F83" s="198"/>
      <c r="G83" s="198"/>
      <c r="H83" s="198"/>
      <c r="I83" s="75"/>
      <c r="J83" s="75"/>
      <c r="K83" s="133"/>
    </row>
    <row r="84" spans="1:11" ht="15.75" x14ac:dyDescent="0.25">
      <c r="A84" s="55" t="s">
        <v>229</v>
      </c>
      <c r="B84" s="56">
        <f>G12+G13+G18+G21+G24</f>
        <v>556.93799999999999</v>
      </c>
      <c r="C84" s="191">
        <f>G6</f>
        <v>1.0158</v>
      </c>
      <c r="D84" s="191"/>
      <c r="E84" s="57">
        <f>'[1]Detail 2024-25 FEFP Conference'!Z3</f>
        <v>950.92</v>
      </c>
      <c r="F84" s="40" t="s">
        <v>217</v>
      </c>
      <c r="G84" s="54">
        <f>ROUND(B84*C84*E84,0)</f>
        <v>537971</v>
      </c>
      <c r="H84" s="58"/>
      <c r="I84" s="75"/>
      <c r="J84" s="75"/>
      <c r="K84" s="133"/>
    </row>
    <row r="85" spans="1:11" ht="15.75" x14ac:dyDescent="0.25">
      <c r="A85" s="59" t="s">
        <v>210</v>
      </c>
      <c r="B85" s="56">
        <f>G14+G15+G19+G22+G25</f>
        <v>165.76</v>
      </c>
      <c r="C85" s="191">
        <f>G6</f>
        <v>1.0158</v>
      </c>
      <c r="D85" s="191"/>
      <c r="E85" s="57">
        <f>'[1]Detail 2024-25 FEFP Conference'!AA3</f>
        <v>907.92</v>
      </c>
      <c r="F85" s="40" t="s">
        <v>217</v>
      </c>
      <c r="G85" s="54">
        <f>ROUND(B85*C85*E85,0)</f>
        <v>152875</v>
      </c>
      <c r="H85" s="12"/>
      <c r="I85" s="75"/>
      <c r="J85" s="75"/>
      <c r="K85" s="133"/>
    </row>
    <row r="86" spans="1:11" ht="16.5" thickBot="1" x14ac:dyDescent="0.3">
      <c r="A86" s="60" t="s">
        <v>211</v>
      </c>
      <c r="B86" s="61">
        <f>G16+G17+G20+G23+G26+G27</f>
        <v>0</v>
      </c>
      <c r="C86" s="191">
        <f>G6</f>
        <v>1.0158</v>
      </c>
      <c r="D86" s="191"/>
      <c r="E86" s="57">
        <f>'[1]Detail 2024-25 FEFP Conference'!AB3</f>
        <v>910.12</v>
      </c>
      <c r="F86" s="40" t="s">
        <v>217</v>
      </c>
      <c r="G86" s="54">
        <f>ROUND(B86*C86*E86,0)</f>
        <v>0</v>
      </c>
      <c r="H86" s="12"/>
      <c r="I86" s="75"/>
      <c r="J86" s="75"/>
      <c r="K86" s="133"/>
    </row>
    <row r="87" spans="1:11" ht="16.5" thickBot="1" x14ac:dyDescent="0.3">
      <c r="A87" s="62" t="s">
        <v>230</v>
      </c>
      <c r="B87" s="63">
        <f>SUM(B84:B86)</f>
        <v>722.69799999999998</v>
      </c>
      <c r="C87" s="192" t="s">
        <v>231</v>
      </c>
      <c r="D87" s="193"/>
      <c r="E87" s="193"/>
      <c r="F87" s="193"/>
      <c r="G87" s="193"/>
      <c r="H87" s="27">
        <f>IF(A1=75,0,G86+G85+G84)</f>
        <v>690846</v>
      </c>
      <c r="I87" s="75"/>
      <c r="J87" s="75"/>
      <c r="K87" s="133"/>
    </row>
    <row r="88" spans="1:11" ht="15.75" x14ac:dyDescent="0.25">
      <c r="A88" s="194" t="s">
        <v>232</v>
      </c>
      <c r="B88" s="194"/>
      <c r="C88" s="194"/>
      <c r="D88" s="194"/>
      <c r="E88" s="194"/>
      <c r="F88" s="194"/>
      <c r="G88" s="194"/>
      <c r="H88" s="194"/>
      <c r="I88" s="75"/>
      <c r="J88" s="133"/>
      <c r="K88" s="134"/>
    </row>
    <row r="89" spans="1:11" ht="15.75" x14ac:dyDescent="0.25">
      <c r="A89" s="175" t="s">
        <v>415</v>
      </c>
      <c r="B89" s="175"/>
      <c r="C89" s="175"/>
      <c r="D89" s="51" t="s">
        <v>235</v>
      </c>
      <c r="E89" s="195"/>
      <c r="F89" s="195"/>
      <c r="G89" s="195"/>
      <c r="H89" s="195"/>
      <c r="I89" s="135"/>
      <c r="J89" s="75"/>
      <c r="K89" s="133"/>
    </row>
    <row r="90" spans="1:11" ht="15.75" x14ac:dyDescent="0.25">
      <c r="A90" s="204" t="s">
        <v>233</v>
      </c>
      <c r="B90" s="204"/>
      <c r="C90" s="205"/>
      <c r="D90" s="205"/>
      <c r="E90" s="205"/>
      <c r="F90" s="64" t="s">
        <v>234</v>
      </c>
      <c r="G90" s="65">
        <f>IF(A1&gt;67,0,INDEX('[1]Transportation Per Student'!F$1:F$65536,MATCH(A1,'[1]Transportation Per Student'!B$1:B$65536)))</f>
        <v>551</v>
      </c>
      <c r="H90" s="129">
        <f>ROUND(G90*C90,0)</f>
        <v>0</v>
      </c>
      <c r="I90" s="75"/>
      <c r="J90" s="75"/>
      <c r="K90" s="133"/>
    </row>
    <row r="91" spans="1:11" ht="15.75" x14ac:dyDescent="0.25">
      <c r="A91" s="204" t="s">
        <v>416</v>
      </c>
      <c r="B91" s="204"/>
      <c r="C91" s="202">
        <v>45</v>
      </c>
      <c r="D91" s="202"/>
      <c r="E91" s="202"/>
      <c r="F91" s="64" t="s">
        <v>234</v>
      </c>
      <c r="G91" s="65">
        <v>-369</v>
      </c>
      <c r="H91" s="129">
        <f>ROUND(G91*C91,0)</f>
        <v>-16605</v>
      </c>
      <c r="I91" s="75"/>
      <c r="J91" s="75"/>
      <c r="K91" s="133"/>
    </row>
    <row r="92" spans="1:11" ht="15.75" x14ac:dyDescent="0.25">
      <c r="A92" s="175" t="s">
        <v>417</v>
      </c>
      <c r="B92" s="175"/>
      <c r="C92" s="175"/>
      <c r="D92" s="37" t="s">
        <v>244</v>
      </c>
      <c r="E92" s="151"/>
      <c r="F92" s="151"/>
      <c r="G92" s="151"/>
      <c r="H92" s="151"/>
      <c r="I92" s="75"/>
      <c r="J92" s="75"/>
      <c r="K92" s="133"/>
    </row>
    <row r="93" spans="1:11" ht="31.5" x14ac:dyDescent="0.25">
      <c r="A93" s="199" t="s">
        <v>236</v>
      </c>
      <c r="B93" s="199"/>
      <c r="C93" s="200" t="s">
        <v>237</v>
      </c>
      <c r="D93" s="200"/>
      <c r="E93" s="201" t="s">
        <v>238</v>
      </c>
      <c r="F93" s="201"/>
      <c r="G93" s="35" t="s">
        <v>239</v>
      </c>
      <c r="H93" s="66" t="s">
        <v>240</v>
      </c>
      <c r="I93" s="75"/>
      <c r="J93" s="75"/>
      <c r="K93" s="133"/>
    </row>
    <row r="94" spans="1:11" ht="15.75" x14ac:dyDescent="0.25">
      <c r="A94" s="155" t="s">
        <v>241</v>
      </c>
      <c r="B94" s="155"/>
      <c r="C94" s="202"/>
      <c r="D94" s="202"/>
      <c r="E94" s="203">
        <f>IF(C94=0,0,INDEX('[1]Detail 2024-25 FEFP Conference'!T$1:T$65536,MATCH(A1,'[1]Detail 2024-25 FEFP Conference'!A$1:A$65536)))</f>
        <v>0</v>
      </c>
      <c r="F94" s="203"/>
      <c r="G94" s="67">
        <f>IF(C94=0,0,'[1]Detail 2024-25 FEFP Conference'!AJ3)</f>
        <v>0</v>
      </c>
      <c r="H94" s="129">
        <f>ROUND((G94+E94)*C94,0)</f>
        <v>0</v>
      </c>
      <c r="I94" s="75"/>
      <c r="J94" s="75"/>
      <c r="K94" s="133"/>
    </row>
    <row r="95" spans="1:11" ht="15.75" x14ac:dyDescent="0.25">
      <c r="A95" s="155" t="s">
        <v>242</v>
      </c>
      <c r="B95" s="155"/>
      <c r="C95" s="202"/>
      <c r="D95" s="202"/>
      <c r="E95" s="207">
        <f>ROUND(E94/2,2)</f>
        <v>0</v>
      </c>
      <c r="F95" s="207"/>
      <c r="G95" s="67">
        <f>IF(C95=0,0,ROUND('[1]Detail 2024-25 FEFP Conference'!AJ3/2,2))</f>
        <v>0</v>
      </c>
      <c r="H95" s="129">
        <f>ROUND((G95+E95)*C95,0)</f>
        <v>0</v>
      </c>
      <c r="I95" s="75"/>
      <c r="J95" s="75"/>
      <c r="K95" s="133"/>
    </row>
    <row r="96" spans="1:11" ht="16.5" thickBot="1" x14ac:dyDescent="0.3">
      <c r="A96" s="165" t="s">
        <v>243</v>
      </c>
      <c r="B96" s="165"/>
      <c r="C96" s="202"/>
      <c r="D96" s="202"/>
      <c r="E96" s="208"/>
      <c r="F96" s="208"/>
      <c r="G96" s="68">
        <f>IF(G94&gt;0,'[1]Detail 2024-25 FEFP Conference'!AK3,0)</f>
        <v>0</v>
      </c>
      <c r="H96" s="119">
        <f>ROUND(G96*C96,0)</f>
        <v>0</v>
      </c>
      <c r="I96" s="75"/>
      <c r="J96" s="75"/>
      <c r="K96" s="133"/>
    </row>
    <row r="97" spans="1:11" ht="16.5" thickBot="1" x14ac:dyDescent="0.3">
      <c r="A97" s="151" t="s">
        <v>240</v>
      </c>
      <c r="B97" s="151"/>
      <c r="C97" s="69"/>
      <c r="D97" s="69"/>
      <c r="E97" s="69"/>
      <c r="F97" s="69"/>
      <c r="G97" s="69"/>
      <c r="H97" s="136">
        <f>SUM(H94:H96)</f>
        <v>0</v>
      </c>
      <c r="I97" s="75"/>
      <c r="J97" s="75"/>
      <c r="K97" s="133"/>
    </row>
    <row r="98" spans="1:11" ht="15.75" x14ac:dyDescent="0.25">
      <c r="A98" s="175" t="s">
        <v>418</v>
      </c>
      <c r="B98" s="175"/>
      <c r="C98" s="175"/>
      <c r="D98" s="70" t="s">
        <v>245</v>
      </c>
      <c r="E98" s="206"/>
      <c r="F98" s="206"/>
      <c r="G98" s="206"/>
      <c r="H98" s="137"/>
      <c r="I98" s="75"/>
      <c r="J98" s="75"/>
      <c r="K98" s="133"/>
    </row>
    <row r="99" spans="1:11" ht="16.5" thickBot="1" x14ac:dyDescent="0.3">
      <c r="A99" s="178" t="s">
        <v>240</v>
      </c>
      <c r="B99" s="178"/>
      <c r="C99" s="178"/>
      <c r="D99" s="178"/>
      <c r="E99" s="178"/>
      <c r="F99" s="178"/>
      <c r="G99" s="178"/>
      <c r="H99" s="138">
        <f>SUM(H98,H97,H91,H90,H87,H80,H79,H77,H76,H74,H39,H78,H56,H81)</f>
        <v>5975248</v>
      </c>
      <c r="I99" s="75"/>
      <c r="J99" s="75"/>
      <c r="K99" s="133"/>
    </row>
    <row r="100" spans="1:11" ht="16.5" thickTop="1" x14ac:dyDescent="0.25">
      <c r="A100" s="151"/>
      <c r="B100" s="151"/>
      <c r="C100" s="151"/>
      <c r="D100" s="151"/>
      <c r="E100" s="151"/>
      <c r="F100" s="151"/>
      <c r="G100" s="151"/>
      <c r="H100" s="151"/>
      <c r="I100" s="75"/>
      <c r="J100" s="75"/>
      <c r="K100" s="133"/>
    </row>
    <row r="101" spans="1:11" ht="16.5" thickBot="1" x14ac:dyDescent="0.3">
      <c r="A101" s="175" t="s">
        <v>419</v>
      </c>
      <c r="B101" s="175"/>
      <c r="C101" s="175"/>
      <c r="D101" s="151"/>
      <c r="E101" s="151"/>
      <c r="F101" s="151"/>
      <c r="G101" s="12" t="s">
        <v>246</v>
      </c>
      <c r="H101" s="71">
        <f>H99-H44</f>
        <v>5709392</v>
      </c>
      <c r="I101" s="75"/>
      <c r="J101" s="75"/>
      <c r="K101" s="75"/>
    </row>
    <row r="102" spans="1:11" ht="16.5" thickTop="1" x14ac:dyDescent="0.25">
      <c r="A102" s="175" t="s">
        <v>420</v>
      </c>
      <c r="B102" s="175"/>
      <c r="C102" s="175"/>
      <c r="D102" s="175"/>
      <c r="E102" s="175"/>
      <c r="F102" s="175"/>
      <c r="G102" s="72" t="s">
        <v>421</v>
      </c>
      <c r="H102" s="73"/>
      <c r="I102" s="12"/>
      <c r="J102" s="44"/>
      <c r="K102" s="12"/>
    </row>
    <row r="103" spans="1:11" ht="15.75" x14ac:dyDescent="0.25">
      <c r="A103" s="180" t="s">
        <v>247</v>
      </c>
      <c r="B103" s="180"/>
      <c r="C103" s="180"/>
      <c r="D103" s="180"/>
      <c r="E103" s="180"/>
      <c r="F103" s="180"/>
      <c r="G103" s="74"/>
      <c r="H103" s="39">
        <f>'[1]75% or more ESE Calc'!H101</f>
        <v>0</v>
      </c>
      <c r="I103" s="12"/>
      <c r="J103" s="12"/>
      <c r="K103" s="44"/>
    </row>
    <row r="104" spans="1:11" ht="15.75" x14ac:dyDescent="0.25">
      <c r="A104" s="46"/>
      <c r="B104" s="46"/>
      <c r="C104" s="46"/>
      <c r="D104" s="46"/>
      <c r="E104" s="46"/>
      <c r="F104" s="46"/>
      <c r="G104" s="69"/>
      <c r="H104" s="73"/>
      <c r="I104" s="12"/>
      <c r="J104" s="12"/>
      <c r="K104" s="44"/>
    </row>
    <row r="105" spans="1:11" ht="15.75" x14ac:dyDescent="0.25">
      <c r="A105" s="209" t="s">
        <v>248</v>
      </c>
      <c r="B105" s="209"/>
      <c r="C105" s="209"/>
      <c r="D105" s="209"/>
      <c r="E105" s="209"/>
      <c r="F105" s="209"/>
      <c r="G105" s="209"/>
      <c r="H105" s="209"/>
      <c r="I105" s="12"/>
      <c r="J105" s="12"/>
      <c r="K105" s="44"/>
    </row>
    <row r="106" spans="1:11" ht="15.75" x14ac:dyDescent="0.25">
      <c r="A106" s="210" t="s">
        <v>422</v>
      </c>
      <c r="B106" s="210"/>
      <c r="C106" s="210"/>
      <c r="D106" s="210"/>
      <c r="E106" s="210"/>
      <c r="F106" s="210"/>
      <c r="G106" s="210"/>
      <c r="H106" s="210"/>
      <c r="I106" s="139"/>
      <c r="J106" s="139"/>
      <c r="K106" s="139"/>
    </row>
    <row r="107" spans="1:11" ht="15.75" x14ac:dyDescent="0.25">
      <c r="A107" s="209" t="s">
        <v>249</v>
      </c>
      <c r="B107" s="209"/>
      <c r="C107" s="209"/>
      <c r="D107" s="209"/>
      <c r="E107" s="209"/>
      <c r="F107" s="209"/>
      <c r="G107" s="209"/>
      <c r="H107" s="209"/>
      <c r="I107" s="12"/>
      <c r="J107" s="12"/>
      <c r="K107" s="44"/>
    </row>
    <row r="108" spans="1:11" ht="15.75" x14ac:dyDescent="0.25">
      <c r="A108" s="209" t="s">
        <v>250</v>
      </c>
      <c r="B108" s="209"/>
      <c r="C108" s="209"/>
      <c r="D108" s="209"/>
      <c r="E108" s="209"/>
      <c r="F108" s="209"/>
      <c r="G108" s="209"/>
      <c r="H108" s="209"/>
      <c r="I108" s="12"/>
      <c r="J108" s="12"/>
      <c r="K108" s="44"/>
    </row>
    <row r="109" spans="1:11" ht="15.75" x14ac:dyDescent="0.25">
      <c r="A109" s="209" t="s">
        <v>423</v>
      </c>
      <c r="B109" s="209"/>
      <c r="C109" s="209"/>
      <c r="D109" s="209"/>
      <c r="E109" s="209"/>
      <c r="F109" s="209"/>
      <c r="G109" s="209"/>
      <c r="H109" s="209"/>
      <c r="I109" s="12"/>
      <c r="J109" s="12"/>
      <c r="K109" s="44"/>
    </row>
    <row r="110" spans="1:11" ht="15.75" x14ac:dyDescent="0.25">
      <c r="A110" s="209" t="s">
        <v>424</v>
      </c>
      <c r="B110" s="209"/>
      <c r="C110" s="209"/>
      <c r="D110" s="209"/>
      <c r="E110" s="209"/>
      <c r="F110" s="209"/>
      <c r="G110" s="209"/>
      <c r="H110" s="209"/>
      <c r="I110" s="12"/>
      <c r="J110" s="12"/>
      <c r="K110" s="44"/>
    </row>
    <row r="111" spans="1:11" ht="15.75" x14ac:dyDescent="0.25">
      <c r="A111" s="209" t="s">
        <v>425</v>
      </c>
      <c r="B111" s="209"/>
      <c r="C111" s="209"/>
      <c r="D111" s="209"/>
      <c r="E111" s="209"/>
      <c r="F111" s="209"/>
      <c r="G111" s="209"/>
      <c r="H111" s="209"/>
      <c r="I111" s="12"/>
      <c r="J111" s="12"/>
      <c r="K111" s="44"/>
    </row>
    <row r="112" spans="1:11" ht="15.75" x14ac:dyDescent="0.25">
      <c r="A112" s="210" t="s">
        <v>426</v>
      </c>
      <c r="B112" s="210"/>
      <c r="C112" s="210"/>
      <c r="D112" s="210"/>
      <c r="E112" s="210"/>
      <c r="F112" s="210"/>
      <c r="G112" s="210"/>
      <c r="H112" s="210"/>
      <c r="I112" s="12"/>
      <c r="J112" s="12"/>
      <c r="K112" s="44"/>
    </row>
    <row r="113" spans="1:11" ht="15.75" x14ac:dyDescent="0.25">
      <c r="A113" s="210" t="s">
        <v>427</v>
      </c>
      <c r="B113" s="210"/>
      <c r="C113" s="210"/>
      <c r="D113" s="210"/>
      <c r="E113" s="210"/>
      <c r="F113" s="210"/>
      <c r="G113" s="210"/>
      <c r="H113" s="210"/>
      <c r="I113" s="12"/>
      <c r="J113" s="12"/>
      <c r="K113" s="44"/>
    </row>
    <row r="114" spans="1:11" ht="15.75" x14ac:dyDescent="0.25">
      <c r="A114" s="210" t="s">
        <v>428</v>
      </c>
      <c r="B114" s="210"/>
      <c r="C114" s="210"/>
      <c r="D114" s="210"/>
      <c r="E114" s="210"/>
      <c r="F114" s="210"/>
      <c r="G114" s="210"/>
      <c r="H114" s="210"/>
      <c r="I114" s="12"/>
      <c r="J114" s="12"/>
      <c r="K114" s="44"/>
    </row>
    <row r="115" spans="1:11" ht="15.75" x14ac:dyDescent="0.25">
      <c r="A115" s="115" t="s">
        <v>251</v>
      </c>
      <c r="B115" s="115"/>
      <c r="C115" s="115"/>
      <c r="D115" s="115"/>
      <c r="E115" s="115"/>
      <c r="F115" s="115"/>
      <c r="G115" s="115"/>
      <c r="H115" s="115"/>
      <c r="I115" s="12"/>
      <c r="J115" s="12"/>
      <c r="K115" s="44"/>
    </row>
    <row r="116" spans="1:11" ht="15.75" x14ac:dyDescent="0.25">
      <c r="A116" s="210" t="s">
        <v>429</v>
      </c>
      <c r="B116" s="210"/>
      <c r="C116" s="210"/>
      <c r="D116" s="210"/>
      <c r="E116" s="210"/>
      <c r="F116" s="210"/>
      <c r="G116" s="210"/>
      <c r="H116" s="210"/>
      <c r="I116" s="12"/>
      <c r="J116" s="12"/>
      <c r="K116" s="44"/>
    </row>
    <row r="117" spans="1:11" ht="15.75" x14ac:dyDescent="0.25">
      <c r="A117" s="210" t="s">
        <v>430</v>
      </c>
      <c r="B117" s="210"/>
      <c r="C117" s="210"/>
      <c r="D117" s="210"/>
      <c r="E117" s="210"/>
      <c r="F117" s="210"/>
      <c r="G117" s="210"/>
      <c r="H117" s="210"/>
      <c r="I117" s="12"/>
      <c r="J117" s="12"/>
      <c r="K117" s="44"/>
    </row>
    <row r="118" spans="1:11" ht="15.75" x14ac:dyDescent="0.25">
      <c r="A118" s="213" t="s">
        <v>252</v>
      </c>
      <c r="B118" s="210"/>
      <c r="C118" s="210"/>
      <c r="D118" s="210"/>
      <c r="E118" s="210"/>
      <c r="F118" s="210"/>
      <c r="G118" s="210"/>
      <c r="H118" s="210"/>
      <c r="I118" s="12"/>
      <c r="J118" s="12"/>
      <c r="K118" s="44"/>
    </row>
    <row r="119" spans="1:11" ht="15.75" x14ac:dyDescent="0.25">
      <c r="A119" s="211" t="s">
        <v>253</v>
      </c>
      <c r="B119" s="211"/>
      <c r="C119" s="211"/>
      <c r="D119" s="211"/>
      <c r="E119" s="211"/>
      <c r="F119" s="211"/>
      <c r="G119" s="211"/>
      <c r="H119" s="211"/>
      <c r="I119" s="12"/>
      <c r="J119" s="12"/>
      <c r="K119" s="44"/>
    </row>
    <row r="120" spans="1:11" ht="15.75" x14ac:dyDescent="0.25">
      <c r="A120" s="211" t="s">
        <v>254</v>
      </c>
      <c r="B120" s="211"/>
      <c r="C120" s="211"/>
      <c r="D120" s="211"/>
      <c r="E120" s="211"/>
      <c r="F120" s="211"/>
      <c r="G120" s="211"/>
      <c r="H120" s="211"/>
      <c r="I120" s="12"/>
      <c r="J120" s="12"/>
      <c r="K120" s="44"/>
    </row>
    <row r="121" spans="1:11" ht="15.75" x14ac:dyDescent="0.25">
      <c r="A121" s="213" t="s">
        <v>255</v>
      </c>
      <c r="B121" s="213"/>
      <c r="C121" s="213"/>
      <c r="D121" s="213"/>
      <c r="E121" s="213"/>
      <c r="F121" s="213"/>
      <c r="G121" s="213"/>
      <c r="H121" s="213"/>
      <c r="I121" s="12"/>
      <c r="J121" s="12"/>
      <c r="K121" s="44"/>
    </row>
    <row r="122" spans="1:11" ht="15.75" x14ac:dyDescent="0.25">
      <c r="A122" s="211" t="s">
        <v>256</v>
      </c>
      <c r="B122" s="211"/>
      <c r="C122" s="211"/>
      <c r="D122" s="211"/>
      <c r="E122" s="211"/>
      <c r="F122" s="211"/>
      <c r="G122" s="211"/>
      <c r="H122" s="211"/>
      <c r="I122" s="12"/>
      <c r="J122" s="12"/>
      <c r="K122" s="44"/>
    </row>
    <row r="123" spans="1:11" ht="15.75" x14ac:dyDescent="0.25">
      <c r="A123" s="212" t="s">
        <v>257</v>
      </c>
      <c r="B123" s="212"/>
      <c r="C123" s="212"/>
      <c r="D123" s="212"/>
      <c r="E123" s="212"/>
      <c r="F123" s="212"/>
      <c r="G123" s="212"/>
      <c r="H123" s="212"/>
      <c r="I123" s="12"/>
      <c r="J123" s="12"/>
      <c r="K123" s="44"/>
    </row>
    <row r="124" spans="1:11" ht="15.75" x14ac:dyDescent="0.25">
      <c r="A124" s="212"/>
      <c r="B124" s="212"/>
      <c r="C124" s="212"/>
      <c r="D124" s="212"/>
      <c r="E124" s="212"/>
      <c r="F124" s="212"/>
      <c r="G124" s="212"/>
      <c r="H124" s="212"/>
      <c r="I124" s="12"/>
      <c r="J124" s="12"/>
      <c r="K124" s="44"/>
    </row>
    <row r="125" spans="1:11" ht="15.75" x14ac:dyDescent="0.25">
      <c r="A125" s="76"/>
      <c r="B125" s="12"/>
      <c r="C125" s="12"/>
      <c r="D125" s="12"/>
      <c r="E125" s="12"/>
      <c r="F125" s="12"/>
      <c r="G125" s="12"/>
      <c r="H125" s="12"/>
      <c r="I125" s="12"/>
      <c r="J125" s="12"/>
      <c r="K125" s="44"/>
    </row>
    <row r="126" spans="1:11" ht="15.75" x14ac:dyDescent="0.25">
      <c r="A126" s="76"/>
      <c r="B126" s="12"/>
      <c r="C126" s="12"/>
      <c r="D126" s="12"/>
      <c r="E126" s="12"/>
      <c r="F126" s="12"/>
      <c r="G126" s="12"/>
      <c r="H126" s="12"/>
      <c r="I126" s="12"/>
      <c r="J126" s="12"/>
      <c r="K126" s="44"/>
    </row>
    <row r="127" spans="1:11" ht="15.75" x14ac:dyDescent="0.25">
      <c r="A127" s="76"/>
      <c r="B127" s="12"/>
      <c r="C127" s="12"/>
      <c r="D127" s="12"/>
      <c r="E127" s="12"/>
      <c r="F127" s="12"/>
      <c r="G127" s="12"/>
      <c r="H127" s="12"/>
      <c r="I127" s="12"/>
      <c r="J127" s="12"/>
      <c r="K127" s="44"/>
    </row>
  </sheetData>
  <mergeCells count="194">
    <mergeCell ref="A122:H122"/>
    <mergeCell ref="A123:H123"/>
    <mergeCell ref="A124:H124"/>
    <mergeCell ref="A116:H116"/>
    <mergeCell ref="A117:H117"/>
    <mergeCell ref="A118:H118"/>
    <mergeCell ref="A119:H119"/>
    <mergeCell ref="A120:H120"/>
    <mergeCell ref="A121:H121"/>
    <mergeCell ref="A109:H109"/>
    <mergeCell ref="A110:H110"/>
    <mergeCell ref="A111:H111"/>
    <mergeCell ref="A112:H112"/>
    <mergeCell ref="A113:H113"/>
    <mergeCell ref="A114:H114"/>
    <mergeCell ref="A102:F102"/>
    <mergeCell ref="A103:F103"/>
    <mergeCell ref="A105:H105"/>
    <mergeCell ref="A106:H106"/>
    <mergeCell ref="A107:H107"/>
    <mergeCell ref="A108:H108"/>
    <mergeCell ref="A97:B97"/>
    <mergeCell ref="A98:C98"/>
    <mergeCell ref="E98:G98"/>
    <mergeCell ref="A99:G99"/>
    <mergeCell ref="A100:H100"/>
    <mergeCell ref="A101:C101"/>
    <mergeCell ref="D101:F101"/>
    <mergeCell ref="A95:B95"/>
    <mergeCell ref="C95:D95"/>
    <mergeCell ref="E95:F95"/>
    <mergeCell ref="A96:B96"/>
    <mergeCell ref="C96:D96"/>
    <mergeCell ref="E96:F96"/>
    <mergeCell ref="A93:B93"/>
    <mergeCell ref="C93:D93"/>
    <mergeCell ref="E93:F93"/>
    <mergeCell ref="A94:B94"/>
    <mergeCell ref="C94:D94"/>
    <mergeCell ref="E94:F94"/>
    <mergeCell ref="A90:B90"/>
    <mergeCell ref="C90:E90"/>
    <mergeCell ref="A91:B91"/>
    <mergeCell ref="C91:E91"/>
    <mergeCell ref="A92:C92"/>
    <mergeCell ref="E92:H92"/>
    <mergeCell ref="C85:D85"/>
    <mergeCell ref="C86:D86"/>
    <mergeCell ref="C87:G87"/>
    <mergeCell ref="A88:H88"/>
    <mergeCell ref="A89:C89"/>
    <mergeCell ref="E89:H89"/>
    <mergeCell ref="A81:C81"/>
    <mergeCell ref="A82:H82"/>
    <mergeCell ref="A83:B83"/>
    <mergeCell ref="C83:D83"/>
    <mergeCell ref="E83:H83"/>
    <mergeCell ref="C84:D84"/>
    <mergeCell ref="A74:C74"/>
    <mergeCell ref="A75:B75"/>
    <mergeCell ref="A76:C76"/>
    <mergeCell ref="A77:C77"/>
    <mergeCell ref="A79:C79"/>
    <mergeCell ref="A80:C80"/>
    <mergeCell ref="G69:H69"/>
    <mergeCell ref="A70:H70"/>
    <mergeCell ref="A71:B71"/>
    <mergeCell ref="E71:F71"/>
    <mergeCell ref="G71:H71"/>
    <mergeCell ref="G72:H72"/>
    <mergeCell ref="A65:B65"/>
    <mergeCell ref="E65:F65"/>
    <mergeCell ref="G65:H65"/>
    <mergeCell ref="G66:H66"/>
    <mergeCell ref="A67:H67"/>
    <mergeCell ref="A68:B68"/>
    <mergeCell ref="E68:F68"/>
    <mergeCell ref="G68:H68"/>
    <mergeCell ref="G60:H60"/>
    <mergeCell ref="A61:H61"/>
    <mergeCell ref="A62:B62"/>
    <mergeCell ref="G62:H62"/>
    <mergeCell ref="G63:H63"/>
    <mergeCell ref="A64:H64"/>
    <mergeCell ref="A56:B56"/>
    <mergeCell ref="C56:D56"/>
    <mergeCell ref="E56:G56"/>
    <mergeCell ref="A58:H58"/>
    <mergeCell ref="A59:B59"/>
    <mergeCell ref="G59:H59"/>
    <mergeCell ref="A47:B55"/>
    <mergeCell ref="C47:D47"/>
    <mergeCell ref="C48:D48"/>
    <mergeCell ref="C49:D49"/>
    <mergeCell ref="C50:D50"/>
    <mergeCell ref="C51:D51"/>
    <mergeCell ref="C52:D52"/>
    <mergeCell ref="C53:D53"/>
    <mergeCell ref="C54:D54"/>
    <mergeCell ref="C55:D55"/>
    <mergeCell ref="A41:D41"/>
    <mergeCell ref="A42:C42"/>
    <mergeCell ref="A43:C43"/>
    <mergeCell ref="A44:C44"/>
    <mergeCell ref="A46:B46"/>
    <mergeCell ref="C46:D46"/>
    <mergeCell ref="A37:B37"/>
    <mergeCell ref="C37:G37"/>
    <mergeCell ref="A38:D38"/>
    <mergeCell ref="F38:G38"/>
    <mergeCell ref="A39:D39"/>
    <mergeCell ref="F39:G39"/>
    <mergeCell ref="A33:B33"/>
    <mergeCell ref="C33:G33"/>
    <mergeCell ref="C34:G34"/>
    <mergeCell ref="A35:B35"/>
    <mergeCell ref="C35:G35"/>
    <mergeCell ref="A36:B36"/>
    <mergeCell ref="C36:G36"/>
    <mergeCell ref="A29:G29"/>
    <mergeCell ref="C30:G30"/>
    <mergeCell ref="J30:K30"/>
    <mergeCell ref="A31:B31"/>
    <mergeCell ref="C31:G31"/>
    <mergeCell ref="A32:B32"/>
    <mergeCell ref="C32:G32"/>
    <mergeCell ref="A27:B27"/>
    <mergeCell ref="C27:D27"/>
    <mergeCell ref="E27:F27"/>
    <mergeCell ref="A28:B28"/>
    <mergeCell ref="C28:D28"/>
    <mergeCell ref="E28:F28"/>
    <mergeCell ref="A25:B25"/>
    <mergeCell ref="C25:D25"/>
    <mergeCell ref="E25:F25"/>
    <mergeCell ref="A26:B26"/>
    <mergeCell ref="C26:D26"/>
    <mergeCell ref="E26:F26"/>
    <mergeCell ref="A23:B23"/>
    <mergeCell ref="C23:D23"/>
    <mergeCell ref="E23:F23"/>
    <mergeCell ref="A24:B24"/>
    <mergeCell ref="C24:D24"/>
    <mergeCell ref="E24:F24"/>
    <mergeCell ref="A21:B21"/>
    <mergeCell ref="C21:D21"/>
    <mergeCell ref="E21:F21"/>
    <mergeCell ref="A22:B22"/>
    <mergeCell ref="C22:D22"/>
    <mergeCell ref="E22:F22"/>
    <mergeCell ref="A19:B19"/>
    <mergeCell ref="C19:D19"/>
    <mergeCell ref="E19:F19"/>
    <mergeCell ref="A20:B20"/>
    <mergeCell ref="C20:D20"/>
    <mergeCell ref="E20:F20"/>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6:B6"/>
    <mergeCell ref="C6:D6"/>
    <mergeCell ref="E6:F6"/>
    <mergeCell ref="G6:H6"/>
    <mergeCell ref="E9:F9"/>
    <mergeCell ref="A10:B10"/>
    <mergeCell ref="C10:D10"/>
    <mergeCell ref="E10:F10"/>
    <mergeCell ref="B1:H1"/>
    <mergeCell ref="A2:H2"/>
    <mergeCell ref="A3:H3"/>
    <mergeCell ref="A4:B4"/>
    <mergeCell ref="C4:D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273D-2A93-4157-9816-785845D8B5B6}">
  <dimension ref="A1:S123"/>
  <sheetViews>
    <sheetView topLeftCell="A93" workbookViewId="0">
      <selection activeCell="A106" sqref="A106:I106"/>
    </sheetView>
  </sheetViews>
  <sheetFormatPr defaultColWidth="9.140625" defaultRowHeight="15" x14ac:dyDescent="0.25"/>
  <cols>
    <col min="1" max="1" width="20.42578125" style="84" customWidth="1"/>
    <col min="2" max="2" width="12.7109375" style="84" customWidth="1"/>
    <col min="3" max="3" width="13.28515625" style="84" customWidth="1"/>
    <col min="4" max="4" width="20" style="84" customWidth="1"/>
    <col min="5" max="7" width="11.85546875" style="84" hidden="1" customWidth="1"/>
    <col min="8" max="8" width="12.7109375" style="84" customWidth="1"/>
    <col min="9" max="10" width="14.28515625" style="84" customWidth="1"/>
    <col min="11" max="11" width="18.140625" style="84" customWidth="1"/>
    <col min="12" max="13" width="9.140625" style="84"/>
    <col min="14" max="14" width="16.5703125" style="84" customWidth="1"/>
    <col min="15" max="16384" width="9.140625" style="84"/>
  </cols>
  <sheetData>
    <row r="1" spans="1:19" ht="15" customHeight="1" x14ac:dyDescent="0.25">
      <c r="A1" s="214" t="s">
        <v>259</v>
      </c>
      <c r="B1" s="215"/>
      <c r="C1" s="215"/>
      <c r="D1" s="215"/>
      <c r="E1" s="215"/>
      <c r="F1" s="215"/>
      <c r="G1" s="215"/>
      <c r="H1" s="215"/>
      <c r="I1" s="215"/>
      <c r="J1" s="116"/>
      <c r="K1" s="77"/>
    </row>
    <row r="2" spans="1:19" ht="26.25" x14ac:dyDescent="0.25">
      <c r="A2" s="85" t="s">
        <v>260</v>
      </c>
      <c r="B2" s="85" t="s">
        <v>261</v>
      </c>
      <c r="C2" s="85" t="s">
        <v>262</v>
      </c>
      <c r="D2" s="86" t="s">
        <v>263</v>
      </c>
      <c r="E2" s="86" t="s">
        <v>264</v>
      </c>
      <c r="F2" s="86"/>
      <c r="G2" s="86" t="s">
        <v>312</v>
      </c>
      <c r="H2" s="86"/>
      <c r="I2" s="78" t="s">
        <v>370</v>
      </c>
      <c r="J2" s="78" t="s">
        <v>432</v>
      </c>
      <c r="K2" s="87" t="s">
        <v>266</v>
      </c>
      <c r="L2" s="88">
        <v>0</v>
      </c>
      <c r="N2" s="84" t="s">
        <v>297</v>
      </c>
      <c r="O2" s="89">
        <v>0.03</v>
      </c>
      <c r="S2" s="84">
        <v>50000</v>
      </c>
    </row>
    <row r="3" spans="1:19" x14ac:dyDescent="0.25">
      <c r="A3" s="80"/>
      <c r="B3" s="80"/>
      <c r="C3" s="80" t="s">
        <v>266</v>
      </c>
      <c r="D3" s="81" t="s">
        <v>334</v>
      </c>
      <c r="E3" s="81">
        <v>47500</v>
      </c>
      <c r="F3" s="81">
        <f>IF(E3&lt;$S$2,$S$2,E3*(1+$O$2))</f>
        <v>50000</v>
      </c>
      <c r="G3" s="81">
        <v>0</v>
      </c>
      <c r="H3" s="104">
        <v>57500</v>
      </c>
      <c r="I3" s="104">
        <f>H3*(1+$O$2)</f>
        <v>59225</v>
      </c>
      <c r="J3" s="104" t="s">
        <v>433</v>
      </c>
      <c r="K3" s="87" t="s">
        <v>268</v>
      </c>
      <c r="L3" s="88">
        <v>2000</v>
      </c>
    </row>
    <row r="4" spans="1:19" x14ac:dyDescent="0.25">
      <c r="A4" s="80"/>
      <c r="B4" s="80"/>
      <c r="C4" s="80" t="s">
        <v>266</v>
      </c>
      <c r="D4" s="81" t="s">
        <v>334</v>
      </c>
      <c r="E4" s="90">
        <v>47500</v>
      </c>
      <c r="F4" s="81">
        <f t="shared" ref="F4:F47" si="0">IF(E4&lt;$S$2,$S$2,E4*(1+$O$2))</f>
        <v>50000</v>
      </c>
      <c r="G4" s="81">
        <v>0</v>
      </c>
      <c r="H4" s="104">
        <v>57500</v>
      </c>
      <c r="I4" s="104">
        <f t="shared" ref="I4:I47" si="1">H4*(1+$O$2)</f>
        <v>59225</v>
      </c>
      <c r="J4" s="104" t="s">
        <v>433</v>
      </c>
      <c r="K4" s="77"/>
    </row>
    <row r="5" spans="1:19" x14ac:dyDescent="0.25">
      <c r="A5" s="80"/>
      <c r="B5" s="80"/>
      <c r="C5" s="80" t="s">
        <v>266</v>
      </c>
      <c r="D5" s="81" t="s">
        <v>334</v>
      </c>
      <c r="E5" s="81">
        <v>49000</v>
      </c>
      <c r="F5" s="81">
        <f t="shared" si="0"/>
        <v>50000</v>
      </c>
      <c r="G5" s="81">
        <v>2000</v>
      </c>
      <c r="H5" s="104">
        <v>57500</v>
      </c>
      <c r="I5" s="104">
        <f t="shared" si="1"/>
        <v>59225</v>
      </c>
      <c r="J5" s="104" t="s">
        <v>433</v>
      </c>
      <c r="K5" s="77"/>
    </row>
    <row r="6" spans="1:19" x14ac:dyDescent="0.25">
      <c r="A6" s="80"/>
      <c r="B6" s="80"/>
      <c r="C6" s="80" t="s">
        <v>268</v>
      </c>
      <c r="D6" s="81" t="s">
        <v>334</v>
      </c>
      <c r="E6" s="81">
        <v>49000</v>
      </c>
      <c r="F6" s="81">
        <f t="shared" si="0"/>
        <v>50000</v>
      </c>
      <c r="G6" s="81">
        <v>2000</v>
      </c>
      <c r="H6" s="104">
        <v>62500</v>
      </c>
      <c r="I6" s="104">
        <f t="shared" si="1"/>
        <v>64375</v>
      </c>
      <c r="J6" s="104" t="s">
        <v>433</v>
      </c>
      <c r="K6" s="77"/>
    </row>
    <row r="7" spans="1:19" x14ac:dyDescent="0.25">
      <c r="A7" s="80"/>
      <c r="B7" s="80"/>
      <c r="C7" s="80" t="s">
        <v>268</v>
      </c>
      <c r="D7" s="81" t="s">
        <v>334</v>
      </c>
      <c r="E7" s="81"/>
      <c r="F7" s="81"/>
      <c r="G7" s="81"/>
      <c r="H7" s="104">
        <v>62500</v>
      </c>
      <c r="I7" s="104">
        <f t="shared" si="1"/>
        <v>64375</v>
      </c>
      <c r="J7" s="104" t="s">
        <v>433</v>
      </c>
      <c r="K7" s="77"/>
    </row>
    <row r="8" spans="1:19" x14ac:dyDescent="0.25">
      <c r="A8" s="80"/>
      <c r="B8" s="80"/>
      <c r="C8" s="80" t="s">
        <v>268</v>
      </c>
      <c r="D8" s="81" t="s">
        <v>334</v>
      </c>
      <c r="E8" s="81">
        <v>0</v>
      </c>
      <c r="F8" s="81">
        <f t="shared" si="0"/>
        <v>50000</v>
      </c>
      <c r="G8" s="81">
        <f t="shared" ref="G8:G10" si="2">_xlfn.XLOOKUP(C8,$K$2:$K$3,$L$2:$L$3)</f>
        <v>2000</v>
      </c>
      <c r="H8" s="104">
        <v>62500</v>
      </c>
      <c r="I8" s="104">
        <f t="shared" si="1"/>
        <v>64375</v>
      </c>
      <c r="J8" s="104" t="s">
        <v>433</v>
      </c>
      <c r="K8" s="77"/>
    </row>
    <row r="9" spans="1:19" x14ac:dyDescent="0.25">
      <c r="A9" s="80"/>
      <c r="B9" s="80"/>
      <c r="C9" s="80" t="s">
        <v>266</v>
      </c>
      <c r="D9" s="81" t="s">
        <v>334</v>
      </c>
      <c r="E9" s="81">
        <v>0</v>
      </c>
      <c r="F9" s="81">
        <f t="shared" si="0"/>
        <v>50000</v>
      </c>
      <c r="G9" s="81">
        <v>0</v>
      </c>
      <c r="H9" s="104">
        <v>57500</v>
      </c>
      <c r="I9" s="104">
        <f t="shared" si="1"/>
        <v>59225</v>
      </c>
      <c r="J9" s="104" t="s">
        <v>434</v>
      </c>
      <c r="K9" s="77"/>
    </row>
    <row r="10" spans="1:19" x14ac:dyDescent="0.25">
      <c r="A10" s="80"/>
      <c r="B10" s="80"/>
      <c r="C10" s="80" t="s">
        <v>266</v>
      </c>
      <c r="D10" s="81" t="s">
        <v>334</v>
      </c>
      <c r="E10" s="81">
        <v>0</v>
      </c>
      <c r="F10" s="81">
        <f t="shared" si="0"/>
        <v>50000</v>
      </c>
      <c r="G10" s="81">
        <f t="shared" si="2"/>
        <v>0</v>
      </c>
      <c r="H10" s="104">
        <v>57500</v>
      </c>
      <c r="I10" s="104">
        <f t="shared" si="1"/>
        <v>59225</v>
      </c>
      <c r="J10" s="104" t="s">
        <v>434</v>
      </c>
      <c r="K10" s="77"/>
    </row>
    <row r="11" spans="1:19" x14ac:dyDescent="0.25">
      <c r="A11" s="80"/>
      <c r="B11" s="80"/>
      <c r="C11" s="80" t="s">
        <v>268</v>
      </c>
      <c r="D11" s="81" t="s">
        <v>334</v>
      </c>
      <c r="E11" s="81">
        <v>47500</v>
      </c>
      <c r="F11" s="81">
        <f t="shared" si="0"/>
        <v>50000</v>
      </c>
      <c r="G11" s="81">
        <v>2000</v>
      </c>
      <c r="H11" s="104">
        <v>62500</v>
      </c>
      <c r="I11" s="104">
        <f t="shared" si="1"/>
        <v>64375</v>
      </c>
      <c r="J11" s="104" t="s">
        <v>434</v>
      </c>
      <c r="K11" s="77"/>
    </row>
    <row r="12" spans="1:19" x14ac:dyDescent="0.25">
      <c r="A12" s="80"/>
      <c r="B12" s="80"/>
      <c r="C12" s="80" t="s">
        <v>268</v>
      </c>
      <c r="D12" s="81" t="s">
        <v>334</v>
      </c>
      <c r="E12" s="81">
        <v>47500</v>
      </c>
      <c r="F12" s="81">
        <f t="shared" si="0"/>
        <v>50000</v>
      </c>
      <c r="G12" s="81">
        <v>0</v>
      </c>
      <c r="H12" s="104">
        <v>62500</v>
      </c>
      <c r="I12" s="104">
        <f t="shared" si="1"/>
        <v>64375</v>
      </c>
      <c r="J12" s="104" t="s">
        <v>434</v>
      </c>
      <c r="K12" s="77"/>
    </row>
    <row r="13" spans="1:19" x14ac:dyDescent="0.25">
      <c r="A13" s="80"/>
      <c r="B13" s="80"/>
      <c r="C13" s="80" t="s">
        <v>268</v>
      </c>
      <c r="D13" s="81" t="s">
        <v>334</v>
      </c>
      <c r="E13" s="81">
        <v>49000</v>
      </c>
      <c r="F13" s="81">
        <f t="shared" si="0"/>
        <v>50000</v>
      </c>
      <c r="G13" s="81">
        <v>2000</v>
      </c>
      <c r="H13" s="104">
        <v>62500</v>
      </c>
      <c r="I13" s="104">
        <f t="shared" si="1"/>
        <v>64375</v>
      </c>
      <c r="J13" s="104" t="s">
        <v>434</v>
      </c>
      <c r="K13" s="77"/>
    </row>
    <row r="14" spans="1:19" x14ac:dyDescent="0.25">
      <c r="A14" s="80"/>
      <c r="B14" s="80"/>
      <c r="C14" s="80" t="s">
        <v>268</v>
      </c>
      <c r="D14" s="81" t="s">
        <v>334</v>
      </c>
      <c r="E14" s="81">
        <v>49000</v>
      </c>
      <c r="F14" s="81">
        <f t="shared" si="0"/>
        <v>50000</v>
      </c>
      <c r="G14" s="81">
        <v>2000</v>
      </c>
      <c r="H14" s="104">
        <v>62500</v>
      </c>
      <c r="I14" s="104">
        <f t="shared" si="1"/>
        <v>64375</v>
      </c>
      <c r="J14" s="104" t="s">
        <v>434</v>
      </c>
      <c r="K14" s="77"/>
    </row>
    <row r="15" spans="1:19" x14ac:dyDescent="0.25">
      <c r="A15" s="80"/>
      <c r="B15" s="80"/>
      <c r="C15" s="80" t="s">
        <v>266</v>
      </c>
      <c r="D15" s="81" t="s">
        <v>334</v>
      </c>
      <c r="E15" s="81">
        <v>49000</v>
      </c>
      <c r="F15" s="81">
        <f t="shared" si="0"/>
        <v>50000</v>
      </c>
      <c r="G15" s="81">
        <v>2000</v>
      </c>
      <c r="H15" s="104">
        <v>57500</v>
      </c>
      <c r="I15" s="104">
        <f t="shared" si="1"/>
        <v>59225</v>
      </c>
      <c r="J15" s="104" t="s">
        <v>435</v>
      </c>
      <c r="K15" s="77"/>
    </row>
    <row r="16" spans="1:19" x14ac:dyDescent="0.25">
      <c r="A16" s="80"/>
      <c r="B16" s="80"/>
      <c r="C16" s="80" t="s">
        <v>266</v>
      </c>
      <c r="D16" s="81" t="s">
        <v>334</v>
      </c>
      <c r="E16" s="81">
        <v>0</v>
      </c>
      <c r="F16" s="81">
        <f>IF(E16&lt;$S$2,$S$2,E16*(1+$O$2))</f>
        <v>50000</v>
      </c>
      <c r="G16" s="81">
        <f>_xlfn.XLOOKUP(C16,$K$2:$K$3,$L$2:$L$3)</f>
        <v>0</v>
      </c>
      <c r="H16" s="104">
        <v>57500</v>
      </c>
      <c r="I16" s="104">
        <f t="shared" si="1"/>
        <v>59225</v>
      </c>
      <c r="J16" s="104" t="s">
        <v>435</v>
      </c>
      <c r="K16" s="77"/>
    </row>
    <row r="17" spans="1:11" x14ac:dyDescent="0.25">
      <c r="A17" s="80"/>
      <c r="B17" s="80"/>
      <c r="C17" s="80" t="s">
        <v>266</v>
      </c>
      <c r="D17" s="81" t="s">
        <v>334</v>
      </c>
      <c r="E17" s="81"/>
      <c r="F17" s="81"/>
      <c r="G17" s="81"/>
      <c r="H17" s="104">
        <v>57500</v>
      </c>
      <c r="I17" s="104">
        <f t="shared" si="1"/>
        <v>59225</v>
      </c>
      <c r="J17" s="104" t="s">
        <v>435</v>
      </c>
      <c r="K17" s="77"/>
    </row>
    <row r="18" spans="1:11" x14ac:dyDescent="0.25">
      <c r="A18" s="80"/>
      <c r="B18" s="80"/>
      <c r="C18" s="80" t="s">
        <v>268</v>
      </c>
      <c r="D18" s="81" t="s">
        <v>334</v>
      </c>
      <c r="E18" s="81"/>
      <c r="F18" s="81"/>
      <c r="G18" s="81"/>
      <c r="H18" s="104">
        <v>62500</v>
      </c>
      <c r="I18" s="104">
        <f t="shared" si="1"/>
        <v>64375</v>
      </c>
      <c r="J18" s="104" t="s">
        <v>435</v>
      </c>
      <c r="K18" s="77"/>
    </row>
    <row r="19" spans="1:11" x14ac:dyDescent="0.25">
      <c r="A19" s="80"/>
      <c r="B19" s="80"/>
      <c r="C19" s="80" t="s">
        <v>268</v>
      </c>
      <c r="D19" s="81" t="s">
        <v>334</v>
      </c>
      <c r="E19" s="81"/>
      <c r="F19" s="81"/>
      <c r="G19" s="81"/>
      <c r="H19" s="104">
        <v>62500</v>
      </c>
      <c r="I19" s="104">
        <f t="shared" si="1"/>
        <v>64375</v>
      </c>
      <c r="J19" s="104" t="s">
        <v>435</v>
      </c>
      <c r="K19" s="77"/>
    </row>
    <row r="20" spans="1:11" x14ac:dyDescent="0.25">
      <c r="A20" s="80"/>
      <c r="B20" s="80"/>
      <c r="C20" s="80" t="s">
        <v>268</v>
      </c>
      <c r="D20" s="81" t="s">
        <v>334</v>
      </c>
      <c r="E20" s="81"/>
      <c r="F20" s="81"/>
      <c r="G20" s="81"/>
      <c r="H20" s="104">
        <v>62500</v>
      </c>
      <c r="I20" s="104">
        <f t="shared" si="1"/>
        <v>64375</v>
      </c>
      <c r="J20" s="104" t="s">
        <v>435</v>
      </c>
      <c r="K20" s="77"/>
    </row>
    <row r="21" spans="1:11" x14ac:dyDescent="0.25">
      <c r="A21" s="80"/>
      <c r="B21" s="80"/>
      <c r="C21" s="80"/>
      <c r="D21" s="81" t="s">
        <v>334</v>
      </c>
      <c r="E21" s="81"/>
      <c r="F21" s="81"/>
      <c r="G21" s="81"/>
      <c r="H21" s="104">
        <v>57500</v>
      </c>
      <c r="I21" s="104">
        <f t="shared" si="1"/>
        <v>59225</v>
      </c>
      <c r="J21" s="104" t="s">
        <v>436</v>
      </c>
      <c r="K21" s="77"/>
    </row>
    <row r="22" spans="1:11" x14ac:dyDescent="0.25">
      <c r="A22" s="80"/>
      <c r="B22" s="80"/>
      <c r="C22" s="80"/>
      <c r="D22" s="81" t="s">
        <v>334</v>
      </c>
      <c r="E22" s="81">
        <v>47500</v>
      </c>
      <c r="F22" s="81">
        <f t="shared" si="0"/>
        <v>50000</v>
      </c>
      <c r="G22" s="81">
        <v>0</v>
      </c>
      <c r="H22" s="104">
        <v>57500</v>
      </c>
      <c r="I22" s="104">
        <f t="shared" si="1"/>
        <v>59225</v>
      </c>
      <c r="J22" s="104" t="s">
        <v>436</v>
      </c>
      <c r="K22" s="77"/>
    </row>
    <row r="23" spans="1:11" x14ac:dyDescent="0.25">
      <c r="A23" s="80"/>
      <c r="B23" s="80"/>
      <c r="C23" s="80"/>
      <c r="D23" s="81" t="s">
        <v>334</v>
      </c>
      <c r="E23" s="81"/>
      <c r="F23" s="81"/>
      <c r="G23" s="81"/>
      <c r="H23" s="104">
        <v>57500</v>
      </c>
      <c r="I23" s="104">
        <f t="shared" si="1"/>
        <v>59225</v>
      </c>
      <c r="J23" s="104" t="s">
        <v>436</v>
      </c>
      <c r="K23" s="77"/>
    </row>
    <row r="24" spans="1:11" x14ac:dyDescent="0.25">
      <c r="A24" s="80"/>
      <c r="B24" s="80"/>
      <c r="C24" s="80"/>
      <c r="D24" s="81" t="s">
        <v>334</v>
      </c>
      <c r="E24" s="81"/>
      <c r="F24" s="81"/>
      <c r="G24" s="81"/>
      <c r="H24" s="104">
        <v>62500</v>
      </c>
      <c r="I24" s="104">
        <f t="shared" si="1"/>
        <v>64375</v>
      </c>
      <c r="J24" s="104" t="s">
        <v>436</v>
      </c>
      <c r="K24" s="77"/>
    </row>
    <row r="25" spans="1:11" x14ac:dyDescent="0.25">
      <c r="A25" s="80"/>
      <c r="B25" s="80"/>
      <c r="C25" s="80"/>
      <c r="D25" s="81" t="s">
        <v>334</v>
      </c>
      <c r="E25" s="81"/>
      <c r="F25" s="81"/>
      <c r="G25" s="81"/>
      <c r="H25" s="104">
        <v>62500</v>
      </c>
      <c r="I25" s="104">
        <f t="shared" si="1"/>
        <v>64375</v>
      </c>
      <c r="J25" s="104" t="s">
        <v>436</v>
      </c>
      <c r="K25" s="77"/>
    </row>
    <row r="26" spans="1:11" x14ac:dyDescent="0.25">
      <c r="A26" s="80"/>
      <c r="B26" s="80"/>
      <c r="C26" s="80"/>
      <c r="D26" s="81" t="s">
        <v>334</v>
      </c>
      <c r="E26" s="81"/>
      <c r="F26" s="81"/>
      <c r="G26" s="81"/>
      <c r="H26" s="104">
        <v>62500</v>
      </c>
      <c r="I26" s="104">
        <f t="shared" si="1"/>
        <v>64375</v>
      </c>
      <c r="J26" s="104" t="s">
        <v>436</v>
      </c>
      <c r="K26" s="77"/>
    </row>
    <row r="27" spans="1:11" x14ac:dyDescent="0.25">
      <c r="A27" s="80"/>
      <c r="B27" s="80"/>
      <c r="C27" s="80"/>
      <c r="D27" s="81" t="s">
        <v>334</v>
      </c>
      <c r="E27" s="81"/>
      <c r="F27" s="81"/>
      <c r="G27" s="81"/>
      <c r="H27" s="104">
        <v>57500</v>
      </c>
      <c r="I27" s="104">
        <f t="shared" si="1"/>
        <v>59225</v>
      </c>
      <c r="J27" s="104" t="s">
        <v>437</v>
      </c>
      <c r="K27" s="77"/>
    </row>
    <row r="28" spans="1:11" x14ac:dyDescent="0.25">
      <c r="A28" s="80"/>
      <c r="B28" s="80"/>
      <c r="C28" s="80"/>
      <c r="D28" s="81" t="s">
        <v>334</v>
      </c>
      <c r="E28" s="81"/>
      <c r="F28" s="81"/>
      <c r="G28" s="81"/>
      <c r="H28" s="104">
        <v>57500</v>
      </c>
      <c r="I28" s="104">
        <f t="shared" si="1"/>
        <v>59225</v>
      </c>
      <c r="J28" s="104" t="s">
        <v>437</v>
      </c>
      <c r="K28" s="77"/>
    </row>
    <row r="29" spans="1:11" x14ac:dyDescent="0.25">
      <c r="A29" s="80"/>
      <c r="B29" s="80"/>
      <c r="C29" s="80"/>
      <c r="D29" s="81" t="s">
        <v>334</v>
      </c>
      <c r="E29" s="81"/>
      <c r="F29" s="81"/>
      <c r="G29" s="81"/>
      <c r="H29" s="104">
        <v>57500</v>
      </c>
      <c r="I29" s="104">
        <f t="shared" si="1"/>
        <v>59225</v>
      </c>
      <c r="J29" s="104" t="s">
        <v>437</v>
      </c>
      <c r="K29" s="77"/>
    </row>
    <row r="30" spans="1:11" x14ac:dyDescent="0.25">
      <c r="A30" s="80"/>
      <c r="B30" s="80"/>
      <c r="C30" s="80"/>
      <c r="D30" s="81" t="s">
        <v>334</v>
      </c>
      <c r="E30" s="81"/>
      <c r="F30" s="81"/>
      <c r="G30" s="81"/>
      <c r="H30" s="104">
        <v>62500</v>
      </c>
      <c r="I30" s="104">
        <f t="shared" si="1"/>
        <v>64375</v>
      </c>
      <c r="J30" s="104" t="s">
        <v>437</v>
      </c>
      <c r="K30" s="77"/>
    </row>
    <row r="31" spans="1:11" x14ac:dyDescent="0.25">
      <c r="A31" s="80"/>
      <c r="B31" s="80"/>
      <c r="C31" s="80"/>
      <c r="D31" s="81" t="s">
        <v>334</v>
      </c>
      <c r="E31" s="81"/>
      <c r="F31" s="81"/>
      <c r="G31" s="81"/>
      <c r="H31" s="104">
        <v>62500</v>
      </c>
      <c r="I31" s="104">
        <f t="shared" si="1"/>
        <v>64375</v>
      </c>
      <c r="J31" s="104" t="s">
        <v>437</v>
      </c>
      <c r="K31" s="77"/>
    </row>
    <row r="32" spans="1:11" ht="14.25" customHeight="1" x14ac:dyDescent="0.25">
      <c r="A32" s="80"/>
      <c r="B32" s="80"/>
      <c r="C32" s="80"/>
      <c r="D32" s="81" t="s">
        <v>334</v>
      </c>
      <c r="E32" s="81"/>
      <c r="F32" s="81"/>
      <c r="G32" s="81"/>
      <c r="H32" s="104">
        <v>62500</v>
      </c>
      <c r="I32" s="104">
        <f t="shared" si="1"/>
        <v>64375</v>
      </c>
      <c r="J32" s="104" t="s">
        <v>438</v>
      </c>
      <c r="K32" s="77"/>
    </row>
    <row r="33" spans="1:11" x14ac:dyDescent="0.25">
      <c r="A33" s="80"/>
      <c r="B33" s="80"/>
      <c r="C33" s="80"/>
      <c r="D33" s="81" t="s">
        <v>334</v>
      </c>
      <c r="E33" s="81"/>
      <c r="F33" s="81"/>
      <c r="G33" s="81"/>
      <c r="H33" s="104">
        <v>62500</v>
      </c>
      <c r="I33" s="104">
        <f t="shared" si="1"/>
        <v>64375</v>
      </c>
      <c r="J33" s="104" t="s">
        <v>438</v>
      </c>
      <c r="K33" s="77"/>
    </row>
    <row r="34" spans="1:11" x14ac:dyDescent="0.25">
      <c r="A34" s="80"/>
      <c r="B34" s="80"/>
      <c r="C34" s="80"/>
      <c r="D34" s="81" t="s">
        <v>334</v>
      </c>
      <c r="E34" s="81"/>
      <c r="F34" s="81"/>
      <c r="G34" s="81"/>
      <c r="H34" s="104">
        <v>62500</v>
      </c>
      <c r="I34" s="104">
        <f t="shared" si="1"/>
        <v>64375</v>
      </c>
      <c r="J34" s="104" t="s">
        <v>438</v>
      </c>
      <c r="K34" s="77"/>
    </row>
    <row r="35" spans="1:11" x14ac:dyDescent="0.25">
      <c r="A35" s="80"/>
      <c r="B35" s="80"/>
      <c r="C35" s="80"/>
      <c r="D35" s="81" t="s">
        <v>334</v>
      </c>
      <c r="E35" s="81"/>
      <c r="F35" s="81"/>
      <c r="G35" s="81"/>
      <c r="H35" s="104">
        <v>57500</v>
      </c>
      <c r="I35" s="104">
        <f t="shared" si="1"/>
        <v>59225</v>
      </c>
      <c r="J35" s="104" t="s">
        <v>439</v>
      </c>
      <c r="K35" s="77"/>
    </row>
    <row r="36" spans="1:11" x14ac:dyDescent="0.25">
      <c r="A36" s="80"/>
      <c r="B36" s="80"/>
      <c r="C36" s="80"/>
      <c r="D36" s="81" t="s">
        <v>334</v>
      </c>
      <c r="E36" s="81"/>
      <c r="F36" s="81"/>
      <c r="G36" s="81"/>
      <c r="H36" s="104">
        <v>57500</v>
      </c>
      <c r="I36" s="104">
        <f t="shared" si="1"/>
        <v>59225</v>
      </c>
      <c r="J36" s="104" t="s">
        <v>439</v>
      </c>
      <c r="K36" s="77"/>
    </row>
    <row r="37" spans="1:11" x14ac:dyDescent="0.25">
      <c r="A37" s="80"/>
      <c r="B37" s="80"/>
      <c r="C37" s="80"/>
      <c r="D37" s="81" t="s">
        <v>334</v>
      </c>
      <c r="E37" s="81"/>
      <c r="F37" s="81"/>
      <c r="G37" s="81"/>
      <c r="H37" s="104">
        <v>57500</v>
      </c>
      <c r="I37" s="104">
        <f t="shared" si="1"/>
        <v>59225</v>
      </c>
      <c r="J37" s="104" t="s">
        <v>439</v>
      </c>
      <c r="K37" s="77"/>
    </row>
    <row r="38" spans="1:11" x14ac:dyDescent="0.25">
      <c r="A38" s="80"/>
      <c r="B38" s="80"/>
      <c r="C38" s="80"/>
      <c r="D38" s="81" t="s">
        <v>443</v>
      </c>
      <c r="E38" s="81"/>
      <c r="F38" s="81"/>
      <c r="G38" s="81"/>
      <c r="H38" s="104">
        <v>64225</v>
      </c>
      <c r="I38" s="104">
        <f t="shared" si="1"/>
        <v>66151.75</v>
      </c>
      <c r="J38" s="104"/>
      <c r="K38" s="77"/>
    </row>
    <row r="39" spans="1:11" x14ac:dyDescent="0.25">
      <c r="A39" s="80"/>
      <c r="B39" s="80"/>
      <c r="C39" s="80"/>
      <c r="D39" s="81" t="s">
        <v>443</v>
      </c>
      <c r="E39" s="81"/>
      <c r="F39" s="81"/>
      <c r="G39" s="81"/>
      <c r="H39" s="104">
        <v>64225</v>
      </c>
      <c r="I39" s="104">
        <f t="shared" si="1"/>
        <v>66151.75</v>
      </c>
      <c r="J39" s="104"/>
      <c r="K39" s="77"/>
    </row>
    <row r="40" spans="1:11" x14ac:dyDescent="0.25">
      <c r="A40" s="80"/>
      <c r="B40" s="80"/>
      <c r="C40" s="80"/>
      <c r="D40" s="81" t="s">
        <v>443</v>
      </c>
      <c r="E40" s="81"/>
      <c r="F40" s="81"/>
      <c r="G40" s="81"/>
      <c r="H40" s="104">
        <v>64225</v>
      </c>
      <c r="I40" s="104">
        <f t="shared" si="1"/>
        <v>66151.75</v>
      </c>
      <c r="J40" s="104"/>
      <c r="K40" s="77"/>
    </row>
    <row r="41" spans="1:11" x14ac:dyDescent="0.25">
      <c r="A41" s="80"/>
      <c r="B41" s="80"/>
      <c r="C41" s="80"/>
      <c r="D41" s="81" t="s">
        <v>443</v>
      </c>
      <c r="E41" s="81"/>
      <c r="F41" s="81"/>
      <c r="G41" s="81"/>
      <c r="H41" s="104">
        <v>64225</v>
      </c>
      <c r="I41" s="104">
        <f t="shared" si="1"/>
        <v>66151.75</v>
      </c>
      <c r="J41" s="104"/>
      <c r="K41" s="77"/>
    </row>
    <row r="42" spans="1:11" x14ac:dyDescent="0.25">
      <c r="A42" s="80"/>
      <c r="B42" s="80"/>
      <c r="C42" s="80"/>
      <c r="D42" s="81" t="s">
        <v>444</v>
      </c>
      <c r="E42" s="81"/>
      <c r="F42" s="81"/>
      <c r="G42" s="81"/>
      <c r="H42" s="104">
        <v>64225</v>
      </c>
      <c r="I42" s="104">
        <f t="shared" ref="I42" si="3">H42*(1+$O$2)</f>
        <v>66151.75</v>
      </c>
      <c r="J42" s="104"/>
      <c r="K42" s="77"/>
    </row>
    <row r="43" spans="1:11" x14ac:dyDescent="0.25">
      <c r="A43" s="80"/>
      <c r="B43" s="80"/>
      <c r="C43" s="80"/>
      <c r="D43" s="81" t="s">
        <v>445</v>
      </c>
      <c r="E43" s="81"/>
      <c r="F43" s="81"/>
      <c r="G43" s="81"/>
      <c r="H43" s="104">
        <v>64225</v>
      </c>
      <c r="I43" s="104">
        <f t="shared" ref="I43:I44" si="4">H43*(1+$O$2)</f>
        <v>66151.75</v>
      </c>
      <c r="J43" s="104"/>
      <c r="K43" s="77"/>
    </row>
    <row r="44" spans="1:11" x14ac:dyDescent="0.25">
      <c r="A44" s="80"/>
      <c r="B44" s="80"/>
      <c r="C44" s="80"/>
      <c r="D44" s="81" t="s">
        <v>446</v>
      </c>
      <c r="E44" s="81"/>
      <c r="F44" s="81"/>
      <c r="G44" s="81"/>
      <c r="H44" s="104">
        <v>59225</v>
      </c>
      <c r="I44" s="104">
        <f t="shared" si="4"/>
        <v>61001.75</v>
      </c>
      <c r="J44" s="104"/>
      <c r="K44" s="77"/>
    </row>
    <row r="45" spans="1:11" x14ac:dyDescent="0.25">
      <c r="A45" s="80"/>
      <c r="B45" s="80"/>
      <c r="C45" s="80"/>
      <c r="D45" s="81"/>
      <c r="E45" s="81"/>
      <c r="F45" s="81"/>
      <c r="G45" s="81"/>
      <c r="H45" s="104"/>
      <c r="I45" s="104"/>
      <c r="J45" s="104"/>
      <c r="K45" s="77"/>
    </row>
    <row r="46" spans="1:11" x14ac:dyDescent="0.25">
      <c r="A46" s="80"/>
      <c r="B46" s="80"/>
      <c r="C46" s="80"/>
      <c r="D46" s="81"/>
      <c r="E46" s="81"/>
      <c r="F46" s="81"/>
      <c r="G46" s="81"/>
      <c r="H46" s="104"/>
      <c r="I46" s="104"/>
      <c r="J46" s="104"/>
      <c r="K46" s="77"/>
    </row>
    <row r="47" spans="1:11" x14ac:dyDescent="0.25">
      <c r="A47" s="80" t="s">
        <v>270</v>
      </c>
      <c r="B47" s="80" t="s">
        <v>271</v>
      </c>
      <c r="C47" s="80" t="s">
        <v>266</v>
      </c>
      <c r="D47" s="81" t="s">
        <v>334</v>
      </c>
      <c r="E47" s="90">
        <v>47500</v>
      </c>
      <c r="F47" s="81">
        <f t="shared" si="0"/>
        <v>50000</v>
      </c>
      <c r="G47" s="81">
        <v>0</v>
      </c>
      <c r="H47" s="104"/>
      <c r="I47" s="104">
        <f t="shared" si="1"/>
        <v>0</v>
      </c>
      <c r="J47" s="104"/>
      <c r="K47" s="77"/>
    </row>
    <row r="48" spans="1:11" x14ac:dyDescent="0.25">
      <c r="A48" s="82" t="s">
        <v>0</v>
      </c>
      <c r="B48" s="82"/>
      <c r="C48" s="82"/>
      <c r="D48" s="82"/>
      <c r="E48" s="82"/>
      <c r="F48" s="82"/>
      <c r="G48" s="82"/>
      <c r="H48" s="83">
        <f>SUM(H3:H47)</f>
        <v>2547075</v>
      </c>
      <c r="I48" s="83">
        <f>SUM(I3:I47)</f>
        <v>2623487.25</v>
      </c>
      <c r="J48" s="83"/>
      <c r="K48" s="77"/>
    </row>
    <row r="49" spans="1:11" x14ac:dyDescent="0.25">
      <c r="A49" s="82"/>
      <c r="B49" s="82"/>
      <c r="C49" s="82"/>
      <c r="D49" s="82"/>
      <c r="E49" s="82"/>
      <c r="F49" s="82"/>
      <c r="G49" s="82"/>
      <c r="H49" s="82"/>
      <c r="I49" s="82"/>
      <c r="J49" s="82"/>
      <c r="K49" s="77"/>
    </row>
    <row r="50" spans="1:11" x14ac:dyDescent="0.25">
      <c r="A50" s="214" t="s">
        <v>272</v>
      </c>
      <c r="B50" s="215"/>
      <c r="C50" s="215"/>
      <c r="D50" s="215"/>
      <c r="E50" s="215"/>
      <c r="F50" s="215"/>
      <c r="G50" s="215"/>
      <c r="H50" s="215"/>
      <c r="I50" s="215"/>
      <c r="J50" s="116"/>
      <c r="K50" s="77"/>
    </row>
    <row r="51" spans="1:11" ht="26.25" x14ac:dyDescent="0.25">
      <c r="A51" s="85" t="s">
        <v>260</v>
      </c>
      <c r="B51" s="85" t="s">
        <v>261</v>
      </c>
      <c r="C51" s="85" t="s">
        <v>262</v>
      </c>
      <c r="D51" s="86" t="s">
        <v>263</v>
      </c>
      <c r="E51" s="86" t="s">
        <v>264</v>
      </c>
      <c r="F51" s="86"/>
      <c r="G51" s="86"/>
      <c r="H51" s="86"/>
      <c r="I51" s="78" t="s">
        <v>370</v>
      </c>
      <c r="J51" s="78"/>
      <c r="K51" s="77"/>
    </row>
    <row r="52" spans="1:11" x14ac:dyDescent="0.25">
      <c r="A52" s="80" t="s">
        <v>273</v>
      </c>
      <c r="B52" s="80" t="s">
        <v>274</v>
      </c>
      <c r="C52" s="80" t="s">
        <v>268</v>
      </c>
      <c r="D52" s="81" t="s">
        <v>275</v>
      </c>
      <c r="E52" s="81">
        <v>49000</v>
      </c>
      <c r="F52" s="81">
        <f>IF(E52&lt;$S$2,$S$2,E52*(1+$O$2))</f>
        <v>50000</v>
      </c>
      <c r="G52" s="81">
        <f>_xlfn.XLOOKUP(C52,$K$2:$K$3,$L$2:$L$3)</f>
        <v>2000</v>
      </c>
      <c r="H52" s="104">
        <v>62500</v>
      </c>
      <c r="I52" s="104">
        <f t="shared" ref="I52:I57" si="5">H52*(1+$O$2)</f>
        <v>64375</v>
      </c>
      <c r="J52" s="104"/>
      <c r="K52" s="77"/>
    </row>
    <row r="53" spans="1:11" x14ac:dyDescent="0.25">
      <c r="A53" s="80" t="s">
        <v>336</v>
      </c>
      <c r="B53" s="80" t="s">
        <v>335</v>
      </c>
      <c r="C53" s="80"/>
      <c r="D53" s="81" t="s">
        <v>278</v>
      </c>
      <c r="E53" s="81"/>
      <c r="F53" s="81"/>
      <c r="G53" s="81"/>
      <c r="H53" s="104">
        <v>57500</v>
      </c>
      <c r="I53" s="104">
        <f t="shared" si="5"/>
        <v>59225</v>
      </c>
      <c r="J53" s="104"/>
      <c r="K53" s="77"/>
    </row>
    <row r="54" spans="1:11" x14ac:dyDescent="0.25">
      <c r="A54" s="80" t="s">
        <v>354</v>
      </c>
      <c r="B54" s="80" t="s">
        <v>355</v>
      </c>
      <c r="C54" s="80"/>
      <c r="D54" s="81" t="s">
        <v>440</v>
      </c>
      <c r="E54" s="81"/>
      <c r="F54" s="81"/>
      <c r="G54" s="81"/>
      <c r="H54" s="104">
        <v>62500</v>
      </c>
      <c r="I54" s="104">
        <f t="shared" si="5"/>
        <v>64375</v>
      </c>
      <c r="J54" s="104"/>
      <c r="K54" s="77"/>
    </row>
    <row r="55" spans="1:11" x14ac:dyDescent="0.25">
      <c r="A55" s="80"/>
      <c r="B55" s="80"/>
      <c r="C55" s="80"/>
      <c r="D55" s="81" t="s">
        <v>441</v>
      </c>
      <c r="E55" s="81"/>
      <c r="F55" s="81"/>
      <c r="G55" s="81"/>
      <c r="H55" s="104">
        <v>57500</v>
      </c>
      <c r="I55" s="104">
        <f t="shared" ref="I55" si="6">H55*(1+$O$2)</f>
        <v>59225</v>
      </c>
      <c r="J55" s="104"/>
      <c r="K55" s="77"/>
    </row>
    <row r="56" spans="1:11" x14ac:dyDescent="0.25">
      <c r="A56" s="80" t="s">
        <v>323</v>
      </c>
      <c r="B56" s="80" t="s">
        <v>286</v>
      </c>
      <c r="C56" s="80" t="s">
        <v>268</v>
      </c>
      <c r="D56" s="81" t="s">
        <v>298</v>
      </c>
      <c r="E56" s="81">
        <v>0</v>
      </c>
      <c r="F56" s="81">
        <f>IF(E56&lt;$S$2,$S$2,E56*(1+$O$2))</f>
        <v>50000</v>
      </c>
      <c r="G56" s="81">
        <f>_xlfn.XLOOKUP(C56,$K$2:$K$3,$L$2:$L$3)</f>
        <v>2000</v>
      </c>
      <c r="H56" s="104">
        <v>62500</v>
      </c>
      <c r="I56" s="104">
        <f t="shared" si="5"/>
        <v>64375</v>
      </c>
      <c r="J56" s="104"/>
      <c r="K56" s="77"/>
    </row>
    <row r="57" spans="1:11" x14ac:dyDescent="0.25">
      <c r="A57" s="80" t="s">
        <v>276</v>
      </c>
      <c r="B57" s="80" t="s">
        <v>277</v>
      </c>
      <c r="C57" s="80" t="s">
        <v>266</v>
      </c>
      <c r="D57" s="81" t="s">
        <v>278</v>
      </c>
      <c r="E57" s="81">
        <v>47500</v>
      </c>
      <c r="F57" s="81">
        <f>IF(E57&lt;$S$2,$S$2,E57*(1+$O$2))</f>
        <v>50000</v>
      </c>
      <c r="G57" s="81">
        <f>_xlfn.XLOOKUP(C57,$K$2:$K$3,$L$2:$L$3)</f>
        <v>0</v>
      </c>
      <c r="H57" s="104">
        <v>57500</v>
      </c>
      <c r="I57" s="104">
        <f t="shared" si="5"/>
        <v>59225</v>
      </c>
      <c r="J57" s="104"/>
      <c r="K57" s="77"/>
    </row>
    <row r="58" spans="1:11" x14ac:dyDescent="0.25">
      <c r="A58" s="82" t="s">
        <v>0</v>
      </c>
      <c r="B58" s="82"/>
      <c r="C58" s="82"/>
      <c r="D58" s="82"/>
      <c r="E58" s="82"/>
      <c r="F58" s="82"/>
      <c r="G58" s="82"/>
      <c r="H58" s="83">
        <f>SUM(H52:H57)</f>
        <v>360000</v>
      </c>
      <c r="I58" s="83">
        <f>SUM(I52:I57)</f>
        <v>370800</v>
      </c>
      <c r="J58" s="83"/>
      <c r="K58" s="77"/>
    </row>
    <row r="59" spans="1:11" x14ac:dyDescent="0.25">
      <c r="A59" s="82"/>
      <c r="B59" s="82"/>
      <c r="C59" s="82"/>
      <c r="D59" s="82"/>
      <c r="E59" s="82"/>
      <c r="F59" s="82"/>
      <c r="G59" s="82"/>
      <c r="H59" s="82"/>
      <c r="I59" s="82"/>
      <c r="J59" s="82"/>
      <c r="K59" s="77"/>
    </row>
    <row r="60" spans="1:11" x14ac:dyDescent="0.25">
      <c r="A60" s="214" t="s">
        <v>279</v>
      </c>
      <c r="B60" s="215"/>
      <c r="C60" s="215"/>
      <c r="D60" s="215"/>
      <c r="E60" s="215"/>
      <c r="F60" s="215"/>
      <c r="G60" s="215"/>
      <c r="H60" s="215"/>
      <c r="I60" s="215"/>
      <c r="J60" s="116"/>
      <c r="K60" s="77"/>
    </row>
    <row r="61" spans="1:11" x14ac:dyDescent="0.25">
      <c r="A61" s="80" t="s">
        <v>265</v>
      </c>
      <c r="B61" s="80" t="s">
        <v>280</v>
      </c>
      <c r="C61" s="80" t="s">
        <v>281</v>
      </c>
      <c r="D61" s="81" t="s">
        <v>282</v>
      </c>
      <c r="E61" s="81">
        <v>100000</v>
      </c>
      <c r="F61" s="81"/>
      <c r="G61" s="81"/>
      <c r="H61" s="104">
        <v>125000</v>
      </c>
      <c r="I61" s="104">
        <f t="shared" ref="I61:I69" si="7">H61*(1+$O$2)</f>
        <v>128750</v>
      </c>
      <c r="J61" s="104"/>
      <c r="K61" s="77"/>
    </row>
    <row r="62" spans="1:11" ht="26.25" x14ac:dyDescent="0.25">
      <c r="A62" s="80" t="s">
        <v>283</v>
      </c>
      <c r="B62" s="80" t="s">
        <v>284</v>
      </c>
      <c r="C62" s="80" t="s">
        <v>285</v>
      </c>
      <c r="D62" s="81" t="s">
        <v>330</v>
      </c>
      <c r="E62" s="81">
        <v>47000</v>
      </c>
      <c r="F62" s="81"/>
      <c r="G62" s="81"/>
      <c r="H62" s="104">
        <v>90000</v>
      </c>
      <c r="I62" s="104">
        <f t="shared" si="7"/>
        <v>92700</v>
      </c>
      <c r="J62" s="104"/>
      <c r="K62" s="77"/>
    </row>
    <row r="63" spans="1:11" x14ac:dyDescent="0.25">
      <c r="A63" s="80"/>
      <c r="B63" s="80"/>
      <c r="C63" s="80"/>
      <c r="D63" s="81" t="s">
        <v>452</v>
      </c>
      <c r="E63" s="81"/>
      <c r="F63" s="81"/>
      <c r="G63" s="81"/>
      <c r="H63" s="104">
        <v>45644</v>
      </c>
      <c r="I63" s="104">
        <f t="shared" ref="I63:I65" si="8">H63*(1+$O$2)</f>
        <v>47013.32</v>
      </c>
      <c r="J63" s="104"/>
      <c r="K63" s="77"/>
    </row>
    <row r="64" spans="1:11" ht="26.25" x14ac:dyDescent="0.25">
      <c r="A64" s="80"/>
      <c r="B64" s="80"/>
      <c r="C64" s="80"/>
      <c r="D64" s="81" t="s">
        <v>451</v>
      </c>
      <c r="E64" s="81"/>
      <c r="F64" s="81"/>
      <c r="G64" s="81"/>
      <c r="H64" s="104">
        <v>45644</v>
      </c>
      <c r="I64" s="104">
        <f t="shared" si="8"/>
        <v>47013.32</v>
      </c>
      <c r="J64" s="104"/>
      <c r="K64" s="77"/>
    </row>
    <row r="65" spans="1:11" x14ac:dyDescent="0.25">
      <c r="A65" s="80"/>
      <c r="B65" s="80"/>
      <c r="C65" s="80"/>
      <c r="D65" s="81" t="s">
        <v>450</v>
      </c>
      <c r="E65" s="81"/>
      <c r="F65" s="81"/>
      <c r="G65" s="81"/>
      <c r="H65" s="104">
        <v>42240</v>
      </c>
      <c r="I65" s="104">
        <f t="shared" si="8"/>
        <v>43507.200000000004</v>
      </c>
      <c r="J65" s="104"/>
      <c r="K65" s="77"/>
    </row>
    <row r="66" spans="1:11" x14ac:dyDescent="0.25">
      <c r="A66" s="80"/>
      <c r="B66" s="80"/>
      <c r="C66" s="80"/>
      <c r="D66" s="81" t="s">
        <v>453</v>
      </c>
      <c r="E66" s="81"/>
      <c r="F66" s="81"/>
      <c r="G66" s="81"/>
      <c r="H66" s="104">
        <v>34496</v>
      </c>
      <c r="I66" s="104">
        <f t="shared" si="7"/>
        <v>35530.879999999997</v>
      </c>
      <c r="J66" s="104"/>
      <c r="K66" s="77"/>
    </row>
    <row r="67" spans="1:11" x14ac:dyDescent="0.25">
      <c r="A67" s="80" t="s">
        <v>341</v>
      </c>
      <c r="B67" s="80" t="s">
        <v>342</v>
      </c>
      <c r="C67" s="80"/>
      <c r="D67" s="81"/>
      <c r="E67" s="81"/>
      <c r="F67" s="81"/>
      <c r="G67" s="81"/>
      <c r="H67" s="104">
        <v>50000</v>
      </c>
      <c r="I67" s="104">
        <f t="shared" si="7"/>
        <v>51500</v>
      </c>
      <c r="J67" s="104"/>
      <c r="K67" s="77"/>
    </row>
    <row r="68" spans="1:11" ht="51.75" x14ac:dyDescent="0.25">
      <c r="A68" s="80" t="s">
        <v>337</v>
      </c>
      <c r="B68" s="80" t="s">
        <v>338</v>
      </c>
      <c r="C68" s="80" t="s">
        <v>285</v>
      </c>
      <c r="D68" s="81" t="s">
        <v>326</v>
      </c>
      <c r="E68" s="81">
        <v>25000</v>
      </c>
      <c r="F68" s="81"/>
      <c r="G68" s="81"/>
      <c r="H68" s="104">
        <v>52000</v>
      </c>
      <c r="I68" s="104">
        <f t="shared" si="7"/>
        <v>53560</v>
      </c>
      <c r="J68" s="104"/>
      <c r="K68" s="77"/>
    </row>
    <row r="69" spans="1:11" ht="39" x14ac:dyDescent="0.25">
      <c r="A69" s="80" t="s">
        <v>321</v>
      </c>
      <c r="B69" s="80" t="s">
        <v>322</v>
      </c>
      <c r="C69" s="80" t="s">
        <v>268</v>
      </c>
      <c r="D69" s="81" t="s">
        <v>329</v>
      </c>
      <c r="E69" s="81">
        <v>0</v>
      </c>
      <c r="F69" s="81"/>
      <c r="G69" s="81"/>
      <c r="H69" s="104">
        <v>100700</v>
      </c>
      <c r="I69" s="104">
        <f t="shared" si="7"/>
        <v>103721</v>
      </c>
      <c r="J69" s="104"/>
      <c r="K69" s="77"/>
    </row>
    <row r="70" spans="1:11" ht="15.75" x14ac:dyDescent="0.25">
      <c r="A70" s="91"/>
      <c r="B70" s="91"/>
      <c r="C70" s="91"/>
      <c r="D70" s="91"/>
      <c r="E70" s="91"/>
      <c r="F70" s="91"/>
      <c r="G70" s="91"/>
      <c r="H70" s="91"/>
      <c r="I70" s="91"/>
      <c r="J70" s="91"/>
      <c r="K70" s="77"/>
    </row>
    <row r="71" spans="1:11" ht="15.75" x14ac:dyDescent="0.25">
      <c r="A71" s="91"/>
      <c r="B71" s="91"/>
      <c r="C71" s="91"/>
      <c r="D71" s="91"/>
      <c r="E71" s="91"/>
      <c r="F71" s="91"/>
      <c r="G71" s="91"/>
      <c r="H71" s="91"/>
      <c r="I71" s="91"/>
      <c r="J71" s="91"/>
      <c r="K71" s="77"/>
    </row>
    <row r="72" spans="1:11" x14ac:dyDescent="0.25">
      <c r="A72" s="214" t="s">
        <v>288</v>
      </c>
      <c r="B72" s="215"/>
      <c r="C72" s="215"/>
      <c r="D72" s="215"/>
      <c r="E72" s="215"/>
      <c r="F72" s="215"/>
      <c r="G72" s="215"/>
      <c r="H72" s="215"/>
      <c r="I72" s="215"/>
      <c r="J72" s="116"/>
      <c r="K72" s="77"/>
    </row>
    <row r="73" spans="1:11" ht="26.25" x14ac:dyDescent="0.25">
      <c r="A73" s="85" t="s">
        <v>260</v>
      </c>
      <c r="B73" s="85" t="s">
        <v>261</v>
      </c>
      <c r="C73" s="85" t="s">
        <v>262</v>
      </c>
      <c r="D73" s="86" t="s">
        <v>263</v>
      </c>
      <c r="E73" s="86" t="s">
        <v>264</v>
      </c>
      <c r="F73" s="86"/>
      <c r="G73" s="86"/>
      <c r="H73" s="86"/>
      <c r="I73" s="78" t="s">
        <v>370</v>
      </c>
      <c r="J73" s="78"/>
      <c r="K73" s="77"/>
    </row>
    <row r="74" spans="1:11" x14ac:dyDescent="0.25">
      <c r="A74" s="80"/>
      <c r="B74" s="80"/>
      <c r="C74" s="80"/>
      <c r="D74" s="81" t="s">
        <v>448</v>
      </c>
      <c r="E74" s="81">
        <v>22000</v>
      </c>
      <c r="F74" s="81"/>
      <c r="G74" s="81"/>
      <c r="H74" s="104"/>
      <c r="I74" s="104">
        <f t="shared" ref="I74:I83" si="9">H74*(1+$O$2)</f>
        <v>0</v>
      </c>
      <c r="J74" s="104"/>
      <c r="K74" s="77"/>
    </row>
    <row r="75" spans="1:11" x14ac:dyDescent="0.25">
      <c r="A75" s="106"/>
      <c r="B75" s="106"/>
      <c r="C75" s="80"/>
      <c r="D75" s="81" t="s">
        <v>448</v>
      </c>
      <c r="E75" s="81"/>
      <c r="F75" s="81"/>
      <c r="G75" s="81"/>
      <c r="H75" s="104">
        <v>34496</v>
      </c>
      <c r="I75" s="104">
        <f t="shared" si="9"/>
        <v>35530.879999999997</v>
      </c>
      <c r="J75" s="104"/>
      <c r="K75" s="77"/>
    </row>
    <row r="76" spans="1:11" x14ac:dyDescent="0.25">
      <c r="A76" s="106"/>
      <c r="B76" s="106"/>
      <c r="C76" s="80"/>
      <c r="D76" s="81" t="s">
        <v>448</v>
      </c>
      <c r="E76" s="81"/>
      <c r="F76" s="81"/>
      <c r="G76" s="81"/>
      <c r="H76" s="104"/>
      <c r="I76" s="104">
        <f t="shared" ref="I76" si="10">H76*(1+$O$2)</f>
        <v>0</v>
      </c>
      <c r="J76" s="104"/>
      <c r="K76" s="77"/>
    </row>
    <row r="77" spans="1:11" x14ac:dyDescent="0.25">
      <c r="A77" s="106"/>
      <c r="B77" s="106"/>
      <c r="C77" s="80"/>
      <c r="D77" s="81" t="s">
        <v>448</v>
      </c>
      <c r="E77" s="81"/>
      <c r="F77" s="81"/>
      <c r="G77" s="81"/>
      <c r="H77" s="104">
        <v>35875</v>
      </c>
      <c r="I77" s="104">
        <f t="shared" si="9"/>
        <v>36951.25</v>
      </c>
      <c r="J77" s="104"/>
      <c r="K77" s="77"/>
    </row>
    <row r="78" spans="1:11" x14ac:dyDescent="0.25">
      <c r="A78" s="80"/>
      <c r="B78" s="80"/>
      <c r="C78" s="80"/>
      <c r="D78" s="81" t="s">
        <v>340</v>
      </c>
      <c r="E78" s="81">
        <v>0</v>
      </c>
      <c r="F78" s="81">
        <v>50000</v>
      </c>
      <c r="G78" s="81">
        <v>2000</v>
      </c>
      <c r="H78" s="104">
        <v>40000</v>
      </c>
      <c r="I78" s="104">
        <f t="shared" si="9"/>
        <v>41200</v>
      </c>
      <c r="J78" s="104"/>
      <c r="K78" s="77"/>
    </row>
    <row r="79" spans="1:11" x14ac:dyDescent="0.25">
      <c r="A79" s="80"/>
      <c r="B79" s="80"/>
      <c r="C79" s="80"/>
      <c r="D79" s="81" t="s">
        <v>449</v>
      </c>
      <c r="E79" s="81"/>
      <c r="F79" s="81"/>
      <c r="G79" s="81"/>
      <c r="H79" s="104">
        <v>29353</v>
      </c>
      <c r="I79" s="104">
        <f t="shared" si="9"/>
        <v>30233.59</v>
      </c>
      <c r="J79" s="104"/>
      <c r="K79" s="77"/>
    </row>
    <row r="80" spans="1:11" x14ac:dyDescent="0.25">
      <c r="A80" s="80"/>
      <c r="B80" s="80"/>
      <c r="C80" s="80"/>
      <c r="D80" s="81" t="s">
        <v>449</v>
      </c>
      <c r="E80" s="81"/>
      <c r="F80" s="81"/>
      <c r="G80" s="81"/>
      <c r="H80" s="104">
        <v>29353</v>
      </c>
      <c r="I80" s="104">
        <f t="shared" si="9"/>
        <v>30233.59</v>
      </c>
      <c r="J80" s="104"/>
      <c r="K80" s="77"/>
    </row>
    <row r="81" spans="1:11" x14ac:dyDescent="0.25">
      <c r="A81" s="80"/>
      <c r="B81" s="80"/>
      <c r="C81" s="80"/>
      <c r="D81" s="81"/>
      <c r="E81" s="81">
        <v>0</v>
      </c>
      <c r="F81" s="81"/>
      <c r="G81" s="81"/>
      <c r="H81" s="104"/>
      <c r="I81" s="104">
        <f t="shared" si="9"/>
        <v>0</v>
      </c>
      <c r="J81" s="104"/>
      <c r="K81" s="77"/>
    </row>
    <row r="82" spans="1:11" x14ac:dyDescent="0.25">
      <c r="A82" s="80"/>
      <c r="B82" s="80"/>
      <c r="C82" s="80"/>
      <c r="D82" s="81"/>
      <c r="E82" s="81">
        <v>0</v>
      </c>
      <c r="F82" s="81"/>
      <c r="G82" s="81"/>
      <c r="H82" s="104"/>
      <c r="I82" s="104">
        <f t="shared" si="9"/>
        <v>0</v>
      </c>
      <c r="J82" s="104"/>
      <c r="K82" s="77"/>
    </row>
    <row r="83" spans="1:11" x14ac:dyDescent="0.25">
      <c r="A83" s="80"/>
      <c r="B83" s="80"/>
      <c r="C83" s="80"/>
      <c r="D83" s="81"/>
      <c r="E83" s="81">
        <v>0</v>
      </c>
      <c r="F83" s="81"/>
      <c r="G83" s="81"/>
      <c r="H83" s="104"/>
      <c r="I83" s="104">
        <f t="shared" si="9"/>
        <v>0</v>
      </c>
      <c r="J83" s="104"/>
      <c r="K83" s="77"/>
    </row>
    <row r="84" spans="1:11" ht="26.25" x14ac:dyDescent="0.25">
      <c r="A84" s="80"/>
      <c r="B84" s="80"/>
      <c r="C84" s="80"/>
      <c r="D84" s="81" t="s">
        <v>328</v>
      </c>
      <c r="E84" s="81"/>
      <c r="F84" s="81"/>
      <c r="G84" s="81"/>
      <c r="H84" s="79">
        <v>30000</v>
      </c>
      <c r="I84" s="79">
        <f>H84</f>
        <v>30000</v>
      </c>
      <c r="J84" s="79"/>
      <c r="K84" s="77"/>
    </row>
    <row r="85" spans="1:11" ht="15.75" x14ac:dyDescent="0.25">
      <c r="A85" s="91" t="s">
        <v>0</v>
      </c>
      <c r="B85" s="91"/>
      <c r="C85" s="91"/>
      <c r="D85" s="91"/>
      <c r="E85" s="91"/>
      <c r="F85" s="91"/>
      <c r="G85" s="91"/>
      <c r="H85" s="92">
        <f>SUM(H74:H84)</f>
        <v>199077</v>
      </c>
      <c r="I85" s="92">
        <f>SUM(I74:I84)</f>
        <v>204149.31</v>
      </c>
      <c r="J85" s="92"/>
      <c r="K85" s="77"/>
    </row>
    <row r="86" spans="1:11" ht="15.75" x14ac:dyDescent="0.25">
      <c r="A86" s="91"/>
      <c r="B86" s="91"/>
      <c r="C86" s="91"/>
      <c r="D86" s="91"/>
      <c r="E86" s="91"/>
      <c r="F86" s="91"/>
      <c r="G86" s="91"/>
      <c r="H86" s="91"/>
      <c r="I86" s="91"/>
      <c r="J86" s="91"/>
      <c r="K86" s="77"/>
    </row>
    <row r="87" spans="1:11" x14ac:dyDescent="0.25">
      <c r="A87" s="214" t="s">
        <v>290</v>
      </c>
      <c r="B87" s="215"/>
      <c r="C87" s="215"/>
      <c r="D87" s="215"/>
      <c r="E87" s="215"/>
      <c r="F87" s="215"/>
      <c r="G87" s="215"/>
      <c r="H87" s="215"/>
      <c r="I87" s="215"/>
      <c r="J87" s="116"/>
      <c r="K87" s="77"/>
    </row>
    <row r="88" spans="1:11" ht="26.25" x14ac:dyDescent="0.25">
      <c r="A88" s="85" t="s">
        <v>260</v>
      </c>
      <c r="B88" s="85" t="s">
        <v>261</v>
      </c>
      <c r="C88" s="85" t="s">
        <v>262</v>
      </c>
      <c r="D88" s="86" t="s">
        <v>263</v>
      </c>
      <c r="E88" s="86" t="s">
        <v>264</v>
      </c>
      <c r="F88" s="86"/>
      <c r="G88" s="86"/>
      <c r="H88" s="86"/>
      <c r="I88" s="78" t="s">
        <v>370</v>
      </c>
      <c r="J88" s="78"/>
      <c r="K88" s="77"/>
    </row>
    <row r="89" spans="1:11" x14ac:dyDescent="0.25">
      <c r="A89" s="80" t="s">
        <v>291</v>
      </c>
      <c r="B89" s="80" t="s">
        <v>292</v>
      </c>
      <c r="C89" s="80" t="s">
        <v>268</v>
      </c>
      <c r="D89" s="81" t="s">
        <v>442</v>
      </c>
      <c r="E89" s="81">
        <v>54000</v>
      </c>
      <c r="F89" s="81">
        <v>54000</v>
      </c>
      <c r="G89" s="81">
        <v>2000</v>
      </c>
      <c r="H89" s="104">
        <v>78000</v>
      </c>
      <c r="I89" s="104">
        <f t="shared" ref="I89:I91" si="11">H89*(1+$O$2)</f>
        <v>80340</v>
      </c>
      <c r="J89" s="104"/>
      <c r="K89" s="77"/>
    </row>
    <row r="90" spans="1:11" x14ac:dyDescent="0.25">
      <c r="A90" s="80"/>
      <c r="B90" s="80"/>
      <c r="C90" s="80"/>
      <c r="D90" s="81" t="s">
        <v>447</v>
      </c>
      <c r="E90" s="81"/>
      <c r="F90" s="81"/>
      <c r="G90" s="81"/>
      <c r="H90" s="104">
        <v>64225</v>
      </c>
      <c r="I90" s="104">
        <f t="shared" si="11"/>
        <v>66151.75</v>
      </c>
      <c r="J90" s="104"/>
      <c r="K90" s="77"/>
    </row>
    <row r="91" spans="1:11" x14ac:dyDescent="0.25">
      <c r="A91" s="80" t="s">
        <v>293</v>
      </c>
      <c r="B91" s="80" t="s">
        <v>294</v>
      </c>
      <c r="C91" s="80" t="s">
        <v>295</v>
      </c>
      <c r="D91" s="81" t="s">
        <v>296</v>
      </c>
      <c r="E91" s="81">
        <v>54000</v>
      </c>
      <c r="F91" s="81">
        <v>54000</v>
      </c>
      <c r="G91" s="81">
        <v>2000</v>
      </c>
      <c r="H91" s="104">
        <v>74880</v>
      </c>
      <c r="I91" s="104">
        <f t="shared" si="11"/>
        <v>77126.400000000009</v>
      </c>
      <c r="J91" s="104"/>
      <c r="K91" s="77"/>
    </row>
    <row r="92" spans="1:11" x14ac:dyDescent="0.25">
      <c r="A92" s="77"/>
      <c r="B92" s="77"/>
      <c r="C92" s="77"/>
      <c r="D92" s="77"/>
      <c r="E92" s="77"/>
      <c r="F92" s="77"/>
      <c r="G92" s="77"/>
      <c r="H92" s="77"/>
      <c r="I92" s="77"/>
      <c r="J92" s="77"/>
      <c r="K92" s="77"/>
    </row>
    <row r="93" spans="1:11" x14ac:dyDescent="0.25">
      <c r="A93" s="214" t="s">
        <v>299</v>
      </c>
      <c r="B93" s="215"/>
      <c r="C93" s="215"/>
      <c r="D93" s="215"/>
      <c r="E93" s="215"/>
      <c r="F93" s="215"/>
      <c r="G93" s="215"/>
      <c r="H93" s="215"/>
      <c r="I93" s="215"/>
      <c r="J93" s="116"/>
      <c r="K93" s="77"/>
    </row>
    <row r="94" spans="1:11" x14ac:dyDescent="0.25">
      <c r="A94" s="77"/>
      <c r="B94" s="77"/>
      <c r="C94" s="77"/>
      <c r="D94" s="77"/>
      <c r="E94" s="77"/>
      <c r="F94" s="77"/>
      <c r="G94" s="77"/>
      <c r="H94" s="77"/>
      <c r="I94" s="77"/>
      <c r="J94" s="77"/>
      <c r="K94" s="77"/>
    </row>
    <row r="95" spans="1:11" x14ac:dyDescent="0.25">
      <c r="A95" s="105" t="s">
        <v>368</v>
      </c>
      <c r="B95" s="105" t="s">
        <v>367</v>
      </c>
      <c r="C95" s="77"/>
      <c r="D95" s="77" t="s">
        <v>360</v>
      </c>
      <c r="E95" s="77"/>
      <c r="F95" s="77"/>
      <c r="G95" s="77"/>
      <c r="H95" s="77">
        <v>112974</v>
      </c>
      <c r="I95" s="77">
        <f>H95</f>
        <v>112974</v>
      </c>
      <c r="J95" s="77"/>
      <c r="K95" s="77"/>
    </row>
    <row r="96" spans="1:11" x14ac:dyDescent="0.25">
      <c r="A96" s="80" t="s">
        <v>324</v>
      </c>
      <c r="B96" s="84" t="s">
        <v>267</v>
      </c>
      <c r="D96" s="81" t="s">
        <v>325</v>
      </c>
      <c r="H96" s="104">
        <v>45644</v>
      </c>
      <c r="I96" s="104">
        <f t="shared" ref="I96:I103" si="12">H96*(1+$O$2)</f>
        <v>47013.32</v>
      </c>
      <c r="J96" s="104"/>
      <c r="K96" s="77" t="s">
        <v>327</v>
      </c>
    </row>
    <row r="97" spans="1:12" x14ac:dyDescent="0.25">
      <c r="A97" s="80" t="s">
        <v>339</v>
      </c>
      <c r="B97" s="84" t="s">
        <v>369</v>
      </c>
      <c r="D97" s="81" t="s">
        <v>325</v>
      </c>
      <c r="H97" s="104">
        <v>37440</v>
      </c>
      <c r="I97" s="104">
        <f t="shared" si="12"/>
        <v>38563.200000000004</v>
      </c>
      <c r="J97" s="104"/>
      <c r="K97" s="77"/>
    </row>
    <row r="98" spans="1:12" x14ac:dyDescent="0.25">
      <c r="A98" s="80" t="s">
        <v>361</v>
      </c>
      <c r="B98" s="84" t="s">
        <v>362</v>
      </c>
      <c r="D98" s="81" t="s">
        <v>325</v>
      </c>
      <c r="H98" s="104">
        <v>29353</v>
      </c>
      <c r="I98" s="104">
        <f t="shared" si="12"/>
        <v>30233.59</v>
      </c>
      <c r="J98" s="104"/>
      <c r="K98" s="77"/>
    </row>
    <row r="99" spans="1:12" x14ac:dyDescent="0.25">
      <c r="A99" s="80" t="s">
        <v>356</v>
      </c>
      <c r="B99" s="84" t="s">
        <v>357</v>
      </c>
      <c r="D99" s="81" t="s">
        <v>325</v>
      </c>
      <c r="H99" s="104">
        <v>29353</v>
      </c>
      <c r="I99" s="104">
        <f t="shared" si="12"/>
        <v>30233.59</v>
      </c>
      <c r="J99" s="104"/>
      <c r="K99" s="77"/>
    </row>
    <row r="100" spans="1:12" x14ac:dyDescent="0.25">
      <c r="A100" s="80"/>
      <c r="D100" s="81" t="s">
        <v>325</v>
      </c>
      <c r="H100" s="104">
        <v>28224</v>
      </c>
      <c r="I100" s="104">
        <f t="shared" ref="I100" si="13">H100*(1+$O$2)</f>
        <v>29070.720000000001</v>
      </c>
      <c r="J100" s="104"/>
      <c r="K100" s="77"/>
    </row>
    <row r="101" spans="1:12" x14ac:dyDescent="0.25">
      <c r="A101" s="80" t="s">
        <v>319</v>
      </c>
      <c r="B101" t="s">
        <v>319</v>
      </c>
      <c r="D101" s="81" t="s">
        <v>363</v>
      </c>
      <c r="H101" s="104">
        <v>26000</v>
      </c>
      <c r="I101" s="104">
        <f t="shared" si="12"/>
        <v>26780</v>
      </c>
      <c r="J101" s="104"/>
      <c r="K101" s="77"/>
    </row>
    <row r="102" spans="1:12" x14ac:dyDescent="0.25">
      <c r="A102" s="80" t="s">
        <v>319</v>
      </c>
      <c r="B102" t="s">
        <v>319</v>
      </c>
      <c r="D102" s="81" t="s">
        <v>363</v>
      </c>
      <c r="H102" s="104">
        <v>26000</v>
      </c>
      <c r="I102" s="104">
        <f t="shared" si="12"/>
        <v>26780</v>
      </c>
      <c r="J102" s="104"/>
      <c r="K102" s="77"/>
    </row>
    <row r="103" spans="1:12" x14ac:dyDescent="0.25">
      <c r="A103" s="80" t="s">
        <v>265</v>
      </c>
      <c r="B103" s="84" t="s">
        <v>346</v>
      </c>
      <c r="D103" s="81" t="s">
        <v>347</v>
      </c>
      <c r="H103" s="104">
        <v>68120</v>
      </c>
      <c r="I103" s="104">
        <f t="shared" si="12"/>
        <v>70163.600000000006</v>
      </c>
      <c r="J103" s="104"/>
    </row>
    <row r="104" spans="1:12" x14ac:dyDescent="0.25">
      <c r="A104" s="80"/>
      <c r="D104" s="81"/>
      <c r="H104" s="79">
        <f>SUM(H95:H103)</f>
        <v>403108</v>
      </c>
      <c r="I104" s="79">
        <f>SUM(I95:I103)</f>
        <v>411812.02</v>
      </c>
      <c r="J104" s="79"/>
    </row>
    <row r="106" spans="1:12" x14ac:dyDescent="0.25">
      <c r="A106" s="214" t="s">
        <v>313</v>
      </c>
      <c r="B106" s="215"/>
      <c r="C106" s="215"/>
      <c r="D106" s="215"/>
      <c r="E106" s="215"/>
      <c r="F106" s="215"/>
      <c r="G106" s="215"/>
      <c r="H106" s="215"/>
      <c r="I106" s="215"/>
      <c r="J106" s="116"/>
    </row>
    <row r="108" spans="1:12" x14ac:dyDescent="0.25">
      <c r="A108" s="85" t="s">
        <v>260</v>
      </c>
      <c r="B108" s="85" t="s">
        <v>261</v>
      </c>
      <c r="C108" s="85" t="s">
        <v>262</v>
      </c>
      <c r="D108" s="86" t="s">
        <v>263</v>
      </c>
      <c r="E108" s="86" t="s">
        <v>314</v>
      </c>
      <c r="F108" s="86"/>
      <c r="G108" s="86"/>
      <c r="H108" s="86"/>
      <c r="I108" s="78"/>
      <c r="J108" s="78"/>
    </row>
    <row r="110" spans="1:12" x14ac:dyDescent="0.25">
      <c r="A110" s="95" t="s">
        <v>319</v>
      </c>
      <c r="B110" s="95" t="s">
        <v>315</v>
      </c>
      <c r="C110" s="95"/>
      <c r="D110" s="95" t="s">
        <v>318</v>
      </c>
      <c r="E110" s="96">
        <v>25</v>
      </c>
      <c r="F110" s="95"/>
      <c r="G110" s="95"/>
      <c r="H110" s="95"/>
      <c r="I110" s="96">
        <f>E110*2.5*170</f>
        <v>10625</v>
      </c>
      <c r="J110" s="96"/>
      <c r="K110" s="95" t="s">
        <v>332</v>
      </c>
      <c r="L110" s="95"/>
    </row>
    <row r="111" spans="1:12" x14ac:dyDescent="0.25">
      <c r="A111" s="95" t="s">
        <v>319</v>
      </c>
      <c r="B111" s="95" t="s">
        <v>316</v>
      </c>
      <c r="C111" s="95"/>
      <c r="D111" s="95" t="s">
        <v>318</v>
      </c>
      <c r="E111" s="96">
        <v>25</v>
      </c>
      <c r="F111" s="95"/>
      <c r="G111" s="95"/>
      <c r="H111" s="95"/>
      <c r="I111" s="96">
        <f t="shared" ref="I111:I117" si="14">E111*2.5*170</f>
        <v>10625</v>
      </c>
      <c r="J111" s="96"/>
      <c r="K111" s="95" t="s">
        <v>332</v>
      </c>
      <c r="L111" s="95"/>
    </row>
    <row r="112" spans="1:12" x14ac:dyDescent="0.25">
      <c r="A112" s="95" t="s">
        <v>319</v>
      </c>
      <c r="B112" s="95" t="s">
        <v>289</v>
      </c>
      <c r="C112" s="95"/>
      <c r="D112" s="95" t="s">
        <v>318</v>
      </c>
      <c r="E112" s="96">
        <v>25</v>
      </c>
      <c r="F112" s="95"/>
      <c r="G112" s="95"/>
      <c r="H112" s="95"/>
      <c r="I112" s="96">
        <f t="shared" si="14"/>
        <v>10625</v>
      </c>
      <c r="J112" s="96"/>
      <c r="K112" s="95" t="s">
        <v>332</v>
      </c>
      <c r="L112" s="95"/>
    </row>
    <row r="113" spans="1:12" x14ac:dyDescent="0.25">
      <c r="A113" s="95" t="s">
        <v>319</v>
      </c>
      <c r="B113" s="95" t="s">
        <v>317</v>
      </c>
      <c r="C113" s="95"/>
      <c r="D113" s="95" t="s">
        <v>318</v>
      </c>
      <c r="E113" s="96">
        <v>25</v>
      </c>
      <c r="F113" s="95"/>
      <c r="G113" s="95"/>
      <c r="H113" s="95"/>
      <c r="I113" s="96">
        <f t="shared" si="14"/>
        <v>10625</v>
      </c>
      <c r="J113" s="96"/>
      <c r="K113" s="95" t="s">
        <v>332</v>
      </c>
      <c r="L113" s="95"/>
    </row>
    <row r="114" spans="1:12" x14ac:dyDescent="0.25">
      <c r="A114" s="95" t="s">
        <v>319</v>
      </c>
      <c r="B114" s="95" t="s">
        <v>274</v>
      </c>
      <c r="C114" s="95"/>
      <c r="D114" s="95" t="s">
        <v>318</v>
      </c>
      <c r="E114" s="96">
        <v>25</v>
      </c>
      <c r="F114" s="95"/>
      <c r="G114" s="95"/>
      <c r="H114" s="95"/>
      <c r="I114" s="96">
        <f t="shared" si="14"/>
        <v>10625</v>
      </c>
      <c r="J114" s="96"/>
      <c r="K114" s="95" t="s">
        <v>332</v>
      </c>
      <c r="L114" s="95"/>
    </row>
    <row r="115" spans="1:12" x14ac:dyDescent="0.25">
      <c r="A115" s="95" t="s">
        <v>319</v>
      </c>
      <c r="B115" s="95" t="s">
        <v>287</v>
      </c>
      <c r="C115" s="95"/>
      <c r="D115" s="95" t="s">
        <v>318</v>
      </c>
      <c r="E115" s="96">
        <v>25</v>
      </c>
      <c r="F115" s="95"/>
      <c r="G115" s="95"/>
      <c r="H115" s="95"/>
      <c r="I115" s="96">
        <f t="shared" si="14"/>
        <v>10625</v>
      </c>
      <c r="J115" s="96"/>
      <c r="K115" s="95" t="s">
        <v>332</v>
      </c>
      <c r="L115" s="95"/>
    </row>
    <row r="116" spans="1:12" x14ac:dyDescent="0.25">
      <c r="A116" s="95" t="s">
        <v>319</v>
      </c>
      <c r="B116" s="95" t="s">
        <v>269</v>
      </c>
      <c r="C116" s="95"/>
      <c r="D116" s="95" t="s">
        <v>318</v>
      </c>
      <c r="E116" s="96">
        <v>25</v>
      </c>
      <c r="F116" s="95"/>
      <c r="G116" s="95"/>
      <c r="H116" s="95"/>
      <c r="I116" s="96">
        <f t="shared" si="14"/>
        <v>10625</v>
      </c>
      <c r="J116" s="96"/>
      <c r="K116" s="95" t="s">
        <v>332</v>
      </c>
      <c r="L116" s="95"/>
    </row>
    <row r="117" spans="1:12" x14ac:dyDescent="0.25">
      <c r="A117" s="95" t="s">
        <v>319</v>
      </c>
      <c r="B117" s="95" t="s">
        <v>320</v>
      </c>
      <c r="C117" s="95"/>
      <c r="D117" s="95" t="s">
        <v>318</v>
      </c>
      <c r="E117" s="96">
        <v>25</v>
      </c>
      <c r="F117" s="95"/>
      <c r="G117" s="95"/>
      <c r="H117" s="95"/>
      <c r="I117" s="96">
        <f t="shared" si="14"/>
        <v>10625</v>
      </c>
      <c r="J117" s="96"/>
      <c r="K117" s="95" t="s">
        <v>332</v>
      </c>
      <c r="L117" s="95"/>
    </row>
    <row r="118" spans="1:12" x14ac:dyDescent="0.25">
      <c r="A118" s="95"/>
      <c r="B118" s="95"/>
      <c r="C118" s="95"/>
      <c r="D118" s="95"/>
      <c r="E118" s="96"/>
      <c r="F118" s="95"/>
      <c r="G118" s="95"/>
      <c r="H118" s="95"/>
      <c r="I118" s="96">
        <f>229500-SUM(I110:I117)</f>
        <v>144500</v>
      </c>
      <c r="J118" s="96"/>
      <c r="K118" s="95"/>
      <c r="L118" s="95"/>
    </row>
    <row r="119" spans="1:12" x14ac:dyDescent="0.25">
      <c r="A119" s="93"/>
      <c r="B119" s="93"/>
      <c r="C119" s="93"/>
      <c r="D119" s="93"/>
      <c r="E119" s="94"/>
      <c r="F119" s="93"/>
      <c r="G119" s="93"/>
      <c r="H119" s="93"/>
      <c r="I119" s="94"/>
      <c r="J119" s="94"/>
      <c r="K119" s="93"/>
      <c r="L119" s="93"/>
    </row>
    <row r="120" spans="1:12" x14ac:dyDescent="0.25">
      <c r="A120" s="93"/>
      <c r="B120" s="93"/>
      <c r="C120" s="93"/>
      <c r="D120" s="93"/>
      <c r="E120" s="94"/>
      <c r="F120" s="93"/>
      <c r="G120" s="93"/>
      <c r="H120" s="93"/>
      <c r="I120" s="94"/>
      <c r="J120" s="94"/>
      <c r="K120" s="93"/>
      <c r="L120" s="93"/>
    </row>
    <row r="121" spans="1:12" x14ac:dyDescent="0.25">
      <c r="A121" s="93"/>
      <c r="B121" s="93"/>
      <c r="C121" s="93"/>
      <c r="D121" s="93"/>
      <c r="E121" s="94"/>
      <c r="F121" s="93"/>
      <c r="G121" s="93"/>
      <c r="H121" s="93"/>
      <c r="I121" s="94"/>
      <c r="J121" s="94"/>
      <c r="K121" s="93"/>
      <c r="L121" s="93"/>
    </row>
    <row r="122" spans="1:12" x14ac:dyDescent="0.25">
      <c r="A122" s="93"/>
      <c r="B122" s="93"/>
      <c r="C122" s="93"/>
      <c r="D122" s="93"/>
      <c r="E122" s="94"/>
      <c r="F122" s="93"/>
      <c r="G122" s="93"/>
      <c r="H122" s="93"/>
      <c r="I122" s="94"/>
      <c r="J122" s="94"/>
      <c r="K122" s="93"/>
      <c r="L122" s="93"/>
    </row>
    <row r="123" spans="1:12" x14ac:dyDescent="0.25">
      <c r="A123" s="95" t="s">
        <v>0</v>
      </c>
      <c r="B123" s="95"/>
      <c r="C123" s="95"/>
      <c r="D123" s="95"/>
      <c r="E123" s="95"/>
      <c r="F123" s="95"/>
      <c r="G123" s="95"/>
      <c r="H123" s="95"/>
      <c r="I123" s="96"/>
      <c r="J123" s="96"/>
      <c r="K123" s="95"/>
      <c r="L123" s="95"/>
    </row>
  </sheetData>
  <mergeCells count="7">
    <mergeCell ref="A106:I106"/>
    <mergeCell ref="A93:I93"/>
    <mergeCell ref="A87:I87"/>
    <mergeCell ref="A1:I1"/>
    <mergeCell ref="A60:I60"/>
    <mergeCell ref="A72:I72"/>
    <mergeCell ref="A50:I50"/>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FEFP</vt:lpstr>
      <vt:lpstr>Salaries</vt:lpstr>
      <vt:lpstr>Budget!Print_Titles</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Mestre</dc:creator>
  <cp:lastModifiedBy>Cathy Rodriguez</cp:lastModifiedBy>
  <cp:lastPrinted>2025-03-12T15:43:49Z</cp:lastPrinted>
  <dcterms:created xsi:type="dcterms:W3CDTF">2022-04-04T13:28:30Z</dcterms:created>
  <dcterms:modified xsi:type="dcterms:W3CDTF">2025-08-29T16:10:08Z</dcterms:modified>
</cp:coreProperties>
</file>